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Default Extension="docx" ContentType="application/vnd.openxmlformats-officedocument.wordprocessingml.documen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4030" windowHeight="10125"/>
  </bookViews>
  <sheets>
    <sheet name="Sampul" sheetId="4" r:id="rId1"/>
    <sheet name="Rencana Aksi" sheetId="3" r:id="rId2"/>
    <sheet name="Pengukuran" sheetId="2" r:id="rId3"/>
    <sheet name="Monev rencana aksi" sheetId="1" r:id="rId4"/>
  </sheets>
  <definedNames>
    <definedName name="_xlnm.Print_Titles" localSheetId="3">'Monev rencana aksi'!$6:$9</definedName>
    <definedName name="_xlnm.Print_Titles" localSheetId="2">Pengukuran!$5:$8</definedName>
    <definedName name="_xlnm.Print_Titles" localSheetId="1">'Rencana Aksi'!$6:$9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7" i="2"/>
  <c r="D47"/>
  <c r="C47"/>
  <c r="E68"/>
  <c r="D68"/>
  <c r="C68"/>
  <c r="B68"/>
  <c r="E66"/>
  <c r="D66"/>
  <c r="C66"/>
  <c r="E46"/>
  <c r="E44"/>
  <c r="E43"/>
  <c r="D43"/>
  <c r="C43"/>
  <c r="E42"/>
  <c r="D42"/>
  <c r="C42"/>
  <c r="E41"/>
  <c r="D41"/>
  <c r="C41"/>
  <c r="E40"/>
  <c r="D40"/>
  <c r="C40"/>
  <c r="E39"/>
  <c r="D39"/>
  <c r="C39"/>
  <c r="D28"/>
  <c r="D27"/>
  <c r="D26"/>
  <c r="D25"/>
  <c r="D24"/>
  <c r="D23"/>
  <c r="D22"/>
  <c r="D21"/>
  <c r="D20"/>
  <c r="D19"/>
  <c r="D18"/>
  <c r="D17"/>
  <c r="D15"/>
  <c r="D14"/>
  <c r="D13"/>
  <c r="D12"/>
  <c r="D11"/>
  <c r="D10"/>
  <c r="D9"/>
  <c r="E90" i="3"/>
  <c r="D90"/>
  <c r="C90"/>
  <c r="E89"/>
  <c r="D89"/>
  <c r="C89"/>
  <c r="E88"/>
  <c r="D88"/>
  <c r="C88"/>
  <c r="E87"/>
  <c r="D87"/>
  <c r="C87"/>
  <c r="E86"/>
  <c r="D86"/>
  <c r="C86"/>
  <c r="B86"/>
  <c r="E85"/>
  <c r="D85"/>
  <c r="C85"/>
  <c r="E84"/>
  <c r="D84"/>
  <c r="C84"/>
  <c r="E83"/>
  <c r="D83"/>
  <c r="C83"/>
  <c r="E82"/>
  <c r="D82"/>
  <c r="C82"/>
  <c r="E81"/>
  <c r="D81"/>
  <c r="C81"/>
  <c r="E80"/>
  <c r="D80"/>
  <c r="C80"/>
  <c r="E79"/>
  <c r="D79"/>
  <c r="C79"/>
  <c r="E78"/>
  <c r="D78"/>
  <c r="C78"/>
  <c r="I77"/>
  <c r="H77"/>
  <c r="F77"/>
  <c r="E77"/>
  <c r="D77"/>
  <c r="C77"/>
  <c r="B77"/>
  <c r="E76"/>
  <c r="D76"/>
  <c r="C76"/>
  <c r="E75"/>
  <c r="D75"/>
  <c r="C75"/>
  <c r="E74"/>
  <c r="D74"/>
  <c r="C74"/>
  <c r="E73"/>
  <c r="D73"/>
  <c r="C73"/>
  <c r="E72"/>
  <c r="D72"/>
  <c r="C72"/>
  <c r="B72"/>
  <c r="E71"/>
  <c r="D71"/>
  <c r="C71"/>
  <c r="B71"/>
  <c r="E70"/>
  <c r="D70"/>
  <c r="C70"/>
  <c r="B70"/>
  <c r="E69"/>
  <c r="D69"/>
  <c r="C69"/>
  <c r="E68"/>
  <c r="D68"/>
  <c r="C68"/>
  <c r="B68"/>
  <c r="B66"/>
  <c r="B64"/>
  <c r="B62"/>
  <c r="E67"/>
  <c r="D67"/>
  <c r="C67"/>
  <c r="E66"/>
  <c r="D66"/>
  <c r="C66"/>
  <c r="H65"/>
  <c r="E65"/>
  <c r="D65"/>
  <c r="C65"/>
  <c r="E64"/>
  <c r="D64"/>
  <c r="C64"/>
  <c r="I63"/>
  <c r="H63"/>
  <c r="G63"/>
  <c r="F63"/>
  <c r="E63"/>
  <c r="D63"/>
  <c r="C63"/>
  <c r="E62"/>
  <c r="D62"/>
  <c r="C62"/>
  <c r="H61"/>
  <c r="F61"/>
  <c r="E61"/>
  <c r="D61"/>
  <c r="C61"/>
  <c r="E60"/>
  <c r="D60"/>
  <c r="C60"/>
  <c r="E59"/>
  <c r="D59"/>
  <c r="C59"/>
  <c r="E58"/>
  <c r="D58"/>
  <c r="C58"/>
  <c r="E57"/>
  <c r="D57"/>
  <c r="C57"/>
  <c r="I56"/>
  <c r="H56"/>
  <c r="F56"/>
  <c r="E56"/>
  <c r="D56"/>
  <c r="C56"/>
  <c r="E55"/>
  <c r="D55"/>
  <c r="C55"/>
  <c r="H54"/>
  <c r="F54"/>
  <c r="E54"/>
  <c r="D54"/>
  <c r="C54"/>
  <c r="E53"/>
  <c r="D53"/>
  <c r="C53"/>
  <c r="E52"/>
  <c r="D52"/>
  <c r="C52"/>
  <c r="F51"/>
  <c r="E51"/>
  <c r="D51"/>
  <c r="C51"/>
  <c r="E50"/>
  <c r="D50"/>
  <c r="C50"/>
  <c r="E49"/>
  <c r="D49"/>
  <c r="C49"/>
  <c r="B49"/>
  <c r="E48"/>
  <c r="D48"/>
  <c r="C48"/>
  <c r="E47"/>
  <c r="D47"/>
  <c r="C47"/>
  <c r="B47"/>
  <c r="E46"/>
  <c r="D46"/>
  <c r="C46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B38"/>
  <c r="E37"/>
  <c r="D37"/>
  <c r="C37"/>
  <c r="B37"/>
  <c r="I36"/>
  <c r="H36"/>
  <c r="G36"/>
  <c r="F36"/>
  <c r="E36"/>
  <c r="D36"/>
  <c r="C36"/>
  <c r="B36"/>
  <c r="B35"/>
  <c r="E35"/>
  <c r="D35"/>
  <c r="C35"/>
  <c r="E34"/>
  <c r="D34"/>
  <c r="C34"/>
  <c r="B34"/>
  <c r="F89" i="1"/>
  <c r="U89" s="1"/>
  <c r="I90" i="3" s="1"/>
  <c r="F88" i="1"/>
  <c r="F89" i="3" s="1"/>
  <c r="F87" i="1"/>
  <c r="U87" s="1"/>
  <c r="I88" i="3" s="1"/>
  <c r="F75" i="1"/>
  <c r="P75" s="1"/>
  <c r="Q75" s="1"/>
  <c r="F74"/>
  <c r="U74" s="1"/>
  <c r="V74" s="1"/>
  <c r="W74" s="1"/>
  <c r="F73"/>
  <c r="K73" s="1"/>
  <c r="L73" s="1"/>
  <c r="M73" s="1"/>
  <c r="F72"/>
  <c r="G72" s="1"/>
  <c r="U75"/>
  <c r="V75" s="1"/>
  <c r="W75" s="1"/>
  <c r="P72"/>
  <c r="Q72" s="1"/>
  <c r="F71"/>
  <c r="F72" i="3" s="1"/>
  <c r="F70" i="1"/>
  <c r="P70" s="1"/>
  <c r="H71" i="3" s="1"/>
  <c r="F69" i="1"/>
  <c r="G69" s="1"/>
  <c r="I69" s="1"/>
  <c r="F68"/>
  <c r="U68" s="1"/>
  <c r="I69" i="3" s="1"/>
  <c r="F67" i="1"/>
  <c r="U67" s="1"/>
  <c r="I68" i="3" s="1"/>
  <c r="F65" i="1"/>
  <c r="U65" s="1"/>
  <c r="I66" i="3" s="1"/>
  <c r="F63" i="1"/>
  <c r="K63" s="1"/>
  <c r="L63" s="1"/>
  <c r="M63" s="1"/>
  <c r="L62"/>
  <c r="F61"/>
  <c r="U61" s="1"/>
  <c r="I62" i="3" s="1"/>
  <c r="F59" i="1"/>
  <c r="F60" i="3" s="1"/>
  <c r="F58" i="1"/>
  <c r="F59" i="3" s="1"/>
  <c r="F57" i="1"/>
  <c r="P57" s="1"/>
  <c r="H58" i="3" s="1"/>
  <c r="F56" i="1"/>
  <c r="U56" s="1"/>
  <c r="I57" i="3" s="1"/>
  <c r="F54" i="1"/>
  <c r="P54" s="1"/>
  <c r="H55" i="3" s="1"/>
  <c r="F52" i="1"/>
  <c r="F53" i="3" s="1"/>
  <c r="F51" i="1"/>
  <c r="P51" s="1"/>
  <c r="H52" i="3" s="1"/>
  <c r="F49" i="1"/>
  <c r="U49" s="1"/>
  <c r="V49" s="1"/>
  <c r="W49" s="1"/>
  <c r="F48"/>
  <c r="F49" i="3" s="1"/>
  <c r="F47" i="1"/>
  <c r="F48" i="3" s="1"/>
  <c r="F46" i="1"/>
  <c r="G46" s="1"/>
  <c r="F45"/>
  <c r="P45" s="1"/>
  <c r="Q45" s="1"/>
  <c r="R45" s="1"/>
  <c r="F44"/>
  <c r="P44" s="1"/>
  <c r="Q44" s="1"/>
  <c r="F43"/>
  <c r="G43" s="1"/>
  <c r="I43" s="1"/>
  <c r="F42"/>
  <c r="U42" s="1"/>
  <c r="V42" s="1"/>
  <c r="W42" s="1"/>
  <c r="G41"/>
  <c r="J41" s="1"/>
  <c r="F41"/>
  <c r="P41" s="1"/>
  <c r="Q41" s="1"/>
  <c r="F40"/>
  <c r="F38" i="3" s="1"/>
  <c r="F39" i="1"/>
  <c r="P39" s="1"/>
  <c r="H37" i="3" s="1"/>
  <c r="F37" i="1"/>
  <c r="K37" s="1"/>
  <c r="G35" i="3" s="1"/>
  <c r="F36" i="1"/>
  <c r="P36" s="1"/>
  <c r="H34" i="3" s="1"/>
  <c r="F35" i="1"/>
  <c r="P35" s="1"/>
  <c r="H33" i="3" s="1"/>
  <c r="V33" i="1"/>
  <c r="F31"/>
  <c r="F29"/>
  <c r="F28"/>
  <c r="F27"/>
  <c r="F26"/>
  <c r="F25"/>
  <c r="F24"/>
  <c r="F23"/>
  <c r="F22"/>
  <c r="F21"/>
  <c r="F20"/>
  <c r="F19"/>
  <c r="F18"/>
  <c r="F16"/>
  <c r="F15"/>
  <c r="F14"/>
  <c r="F13"/>
  <c r="F12"/>
  <c r="F11"/>
  <c r="U10"/>
  <c r="I10" i="3" s="1"/>
  <c r="P10" i="1"/>
  <c r="H10" i="3" s="1"/>
  <c r="K10" i="1"/>
  <c r="G10" i="3" s="1"/>
  <c r="F10" i="1"/>
  <c r="F10" i="3" s="1"/>
  <c r="D29" i="2"/>
  <c r="E33" i="3"/>
  <c r="D33"/>
  <c r="I31"/>
  <c r="G31"/>
  <c r="C33"/>
  <c r="E32"/>
  <c r="D32"/>
  <c r="C32"/>
  <c r="B32"/>
  <c r="H31"/>
  <c r="F31"/>
  <c r="E31"/>
  <c r="D31"/>
  <c r="C31"/>
  <c r="B31"/>
  <c r="H30"/>
  <c r="G30"/>
  <c r="E30"/>
  <c r="D30"/>
  <c r="C30"/>
  <c r="B30"/>
  <c r="E29"/>
  <c r="D29"/>
  <c r="C29"/>
  <c r="B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E18"/>
  <c r="D18"/>
  <c r="C18"/>
  <c r="E17"/>
  <c r="D17"/>
  <c r="C17"/>
  <c r="B17"/>
  <c r="E16"/>
  <c r="D16"/>
  <c r="E15"/>
  <c r="D15"/>
  <c r="E14"/>
  <c r="D14"/>
  <c r="E13"/>
  <c r="D13"/>
  <c r="E12"/>
  <c r="D12"/>
  <c r="E11"/>
  <c r="D11"/>
  <c r="C16"/>
  <c r="C15"/>
  <c r="C14"/>
  <c r="C13"/>
  <c r="C12"/>
  <c r="C11"/>
  <c r="E10"/>
  <c r="D10"/>
  <c r="C10"/>
  <c r="B10"/>
  <c r="A10"/>
  <c r="E87" i="2"/>
  <c r="D87"/>
  <c r="C87"/>
  <c r="E86"/>
  <c r="D86"/>
  <c r="C86"/>
  <c r="E85"/>
  <c r="D85"/>
  <c r="C85"/>
  <c r="E84"/>
  <c r="D84"/>
  <c r="C84"/>
  <c r="E83"/>
  <c r="D83"/>
  <c r="C83"/>
  <c r="B83"/>
  <c r="A83"/>
  <c r="E82"/>
  <c r="D82"/>
  <c r="E81"/>
  <c r="D81"/>
  <c r="C82"/>
  <c r="C81"/>
  <c r="E80"/>
  <c r="D80"/>
  <c r="E79"/>
  <c r="D79"/>
  <c r="E78"/>
  <c r="D78"/>
  <c r="E77"/>
  <c r="D77"/>
  <c r="E76"/>
  <c r="D76"/>
  <c r="E75"/>
  <c r="D75"/>
  <c r="C80"/>
  <c r="C79"/>
  <c r="C78"/>
  <c r="C77"/>
  <c r="C76"/>
  <c r="C75"/>
  <c r="E74"/>
  <c r="D74"/>
  <c r="C74"/>
  <c r="B74"/>
  <c r="A74"/>
  <c r="E73"/>
  <c r="D73"/>
  <c r="C73"/>
  <c r="E72"/>
  <c r="D72"/>
  <c r="C72"/>
  <c r="E71"/>
  <c r="D71"/>
  <c r="C71"/>
  <c r="E70"/>
  <c r="D70"/>
  <c r="C70"/>
  <c r="E69"/>
  <c r="D69"/>
  <c r="C69"/>
  <c r="B69"/>
  <c r="A69"/>
  <c r="E67"/>
  <c r="D67"/>
  <c r="C67"/>
  <c r="B67"/>
  <c r="A67"/>
  <c r="D65"/>
  <c r="E65"/>
  <c r="C65"/>
  <c r="B65"/>
  <c r="A65"/>
  <c r="E64"/>
  <c r="D64"/>
  <c r="C64"/>
  <c r="E63"/>
  <c r="D63"/>
  <c r="C63"/>
  <c r="B63"/>
  <c r="A63"/>
  <c r="E62"/>
  <c r="D62"/>
  <c r="C62"/>
  <c r="E61"/>
  <c r="D61"/>
  <c r="C61"/>
  <c r="B61"/>
  <c r="A61"/>
  <c r="E60"/>
  <c r="D60"/>
  <c r="C60"/>
  <c r="E59"/>
  <c r="D59"/>
  <c r="C59"/>
  <c r="B59"/>
  <c r="A59"/>
  <c r="G53"/>
  <c r="G51"/>
  <c r="E58"/>
  <c r="D58"/>
  <c r="C58"/>
  <c r="E57"/>
  <c r="D57"/>
  <c r="C57"/>
  <c r="E56"/>
  <c r="D56"/>
  <c r="C56"/>
  <c r="E55"/>
  <c r="D55"/>
  <c r="C55"/>
  <c r="E54"/>
  <c r="D54"/>
  <c r="C54"/>
  <c r="E53"/>
  <c r="D53"/>
  <c r="C53"/>
  <c r="E52"/>
  <c r="D52"/>
  <c r="C52"/>
  <c r="E51"/>
  <c r="D51"/>
  <c r="C51"/>
  <c r="E50"/>
  <c r="D50"/>
  <c r="C50"/>
  <c r="E49"/>
  <c r="D49"/>
  <c r="C49"/>
  <c r="E48"/>
  <c r="D48"/>
  <c r="F48" s="1"/>
  <c r="C48"/>
  <c r="D46"/>
  <c r="C46"/>
  <c r="B46"/>
  <c r="A46"/>
  <c r="E45"/>
  <c r="D45"/>
  <c r="C45"/>
  <c r="D44"/>
  <c r="C44"/>
  <c r="B44"/>
  <c r="A44"/>
  <c r="E38"/>
  <c r="D38"/>
  <c r="C38"/>
  <c r="B38"/>
  <c r="A38"/>
  <c r="E37"/>
  <c r="D37"/>
  <c r="C37"/>
  <c r="B37"/>
  <c r="A37"/>
  <c r="E36"/>
  <c r="D36"/>
  <c r="C36"/>
  <c r="B36"/>
  <c r="A36"/>
  <c r="E35"/>
  <c r="D35"/>
  <c r="C35"/>
  <c r="B35"/>
  <c r="A35"/>
  <c r="E34"/>
  <c r="D34"/>
  <c r="C34"/>
  <c r="B34"/>
  <c r="A34"/>
  <c r="E33"/>
  <c r="D33"/>
  <c r="C33"/>
  <c r="E32"/>
  <c r="D32"/>
  <c r="C32"/>
  <c r="B32"/>
  <c r="A32"/>
  <c r="E31"/>
  <c r="D31"/>
  <c r="C31"/>
  <c r="B31"/>
  <c r="A31"/>
  <c r="E30"/>
  <c r="D30"/>
  <c r="C30"/>
  <c r="B30"/>
  <c r="A30"/>
  <c r="E29"/>
  <c r="C29"/>
  <c r="B29"/>
  <c r="A29"/>
  <c r="E28"/>
  <c r="C28"/>
  <c r="E27"/>
  <c r="C27"/>
  <c r="E26"/>
  <c r="C26"/>
  <c r="E25"/>
  <c r="C25"/>
  <c r="E24"/>
  <c r="C24"/>
  <c r="E23"/>
  <c r="C23"/>
  <c r="E22"/>
  <c r="C22"/>
  <c r="E21"/>
  <c r="C21"/>
  <c r="E20"/>
  <c r="C20"/>
  <c r="E19"/>
  <c r="C19"/>
  <c r="E18"/>
  <c r="C18"/>
  <c r="E17"/>
  <c r="C17"/>
  <c r="Q32" i="1"/>
  <c r="K88"/>
  <c r="L88" s="1"/>
  <c r="M88" s="1"/>
  <c r="K87"/>
  <c r="L87" s="1"/>
  <c r="M87" s="1"/>
  <c r="F86"/>
  <c r="K86" s="1"/>
  <c r="L86" s="1"/>
  <c r="M86" s="1"/>
  <c r="F85"/>
  <c r="K85" s="1"/>
  <c r="L85" s="1"/>
  <c r="M85" s="1"/>
  <c r="F84"/>
  <c r="P84" s="1"/>
  <c r="Q84" s="1"/>
  <c r="F83"/>
  <c r="P83" s="1"/>
  <c r="Q83" s="1"/>
  <c r="F82"/>
  <c r="P82" s="1"/>
  <c r="Q82" s="1"/>
  <c r="F81"/>
  <c r="P81" s="1"/>
  <c r="Q81" s="1"/>
  <c r="F80"/>
  <c r="P80" s="1"/>
  <c r="Q80" s="1"/>
  <c r="F79"/>
  <c r="P79" s="1"/>
  <c r="Q79" s="1"/>
  <c r="F78"/>
  <c r="P78" s="1"/>
  <c r="Q78" s="1"/>
  <c r="F77"/>
  <c r="P77" s="1"/>
  <c r="Q77" s="1"/>
  <c r="G76"/>
  <c r="Q76"/>
  <c r="P71"/>
  <c r="Q71" s="1"/>
  <c r="F66"/>
  <c r="K66" s="1"/>
  <c r="L66" s="1"/>
  <c r="M66" s="1"/>
  <c r="F64"/>
  <c r="K64" s="1"/>
  <c r="L64" s="1"/>
  <c r="M64" s="1"/>
  <c r="F34" i="3" l="1"/>
  <c r="F37"/>
  <c r="F40"/>
  <c r="F42"/>
  <c r="H42"/>
  <c r="F44"/>
  <c r="F46"/>
  <c r="F47"/>
  <c r="F50"/>
  <c r="F52"/>
  <c r="F58"/>
  <c r="F62"/>
  <c r="F64"/>
  <c r="G65"/>
  <c r="F66"/>
  <c r="G67"/>
  <c r="F68"/>
  <c r="F73"/>
  <c r="H73"/>
  <c r="G74"/>
  <c r="F75"/>
  <c r="I76"/>
  <c r="F78"/>
  <c r="H78"/>
  <c r="F80"/>
  <c r="H80"/>
  <c r="F82"/>
  <c r="H82"/>
  <c r="F84"/>
  <c r="H84"/>
  <c r="G86"/>
  <c r="F87"/>
  <c r="G88"/>
  <c r="F35"/>
  <c r="F39"/>
  <c r="H39"/>
  <c r="I40"/>
  <c r="F41"/>
  <c r="F43"/>
  <c r="H43"/>
  <c r="F45"/>
  <c r="I50"/>
  <c r="F55"/>
  <c r="F57"/>
  <c r="G64"/>
  <c r="F65"/>
  <c r="F67"/>
  <c r="F69"/>
  <c r="F70"/>
  <c r="F71"/>
  <c r="H72"/>
  <c r="F74"/>
  <c r="I75"/>
  <c r="F76"/>
  <c r="H76"/>
  <c r="F79"/>
  <c r="H79"/>
  <c r="F81"/>
  <c r="H81"/>
  <c r="F83"/>
  <c r="H83"/>
  <c r="F85"/>
  <c r="H85"/>
  <c r="F86"/>
  <c r="G87"/>
  <c r="F88"/>
  <c r="G89"/>
  <c r="F90"/>
  <c r="K74" i="1"/>
  <c r="K89"/>
  <c r="V87"/>
  <c r="W87" s="1"/>
  <c r="V89"/>
  <c r="W89" s="1"/>
  <c r="P65"/>
  <c r="P74"/>
  <c r="P68"/>
  <c r="H69" i="3" s="1"/>
  <c r="U70" i="1"/>
  <c r="U73"/>
  <c r="K68"/>
  <c r="G69" i="3" s="1"/>
  <c r="K70" i="1"/>
  <c r="G73"/>
  <c r="N73" s="1"/>
  <c r="O73" s="1"/>
  <c r="G75"/>
  <c r="I75" s="1"/>
  <c r="U39"/>
  <c r="I37" i="3" s="1"/>
  <c r="I41" i="1"/>
  <c r="K75"/>
  <c r="G74"/>
  <c r="P73"/>
  <c r="U72"/>
  <c r="K72"/>
  <c r="R72"/>
  <c r="R75"/>
  <c r="I72"/>
  <c r="I73"/>
  <c r="H72"/>
  <c r="H73"/>
  <c r="J72"/>
  <c r="J73"/>
  <c r="Q70"/>
  <c r="R70" s="1"/>
  <c r="U69"/>
  <c r="P69"/>
  <c r="H70" i="3" s="1"/>
  <c r="K69" i="1"/>
  <c r="G70" i="3" s="1"/>
  <c r="K56" i="1"/>
  <c r="G57" i="3" s="1"/>
  <c r="V68" i="1"/>
  <c r="W68" s="1"/>
  <c r="V67"/>
  <c r="W67" s="1"/>
  <c r="K57"/>
  <c r="G58" i="3" s="1"/>
  <c r="K36" i="1"/>
  <c r="G34" i="3" s="1"/>
  <c r="K41" i="1"/>
  <c r="U57"/>
  <c r="I58" i="3" s="1"/>
  <c r="P61" i="1"/>
  <c r="H62" i="3" s="1"/>
  <c r="P56" i="1"/>
  <c r="H57" i="3" s="1"/>
  <c r="Q57" i="1"/>
  <c r="U51"/>
  <c r="I52" i="3" s="1"/>
  <c r="U54" i="1"/>
  <c r="I55" i="3" s="1"/>
  <c r="U41" i="1"/>
  <c r="G42"/>
  <c r="K42" s="1"/>
  <c r="G44"/>
  <c r="J44" s="1"/>
  <c r="K51"/>
  <c r="G52" i="3" s="1"/>
  <c r="G51" i="1"/>
  <c r="K54"/>
  <c r="G55" i="3" s="1"/>
  <c r="U44" i="1"/>
  <c r="H41"/>
  <c r="P42"/>
  <c r="K49"/>
  <c r="G49"/>
  <c r="P49"/>
  <c r="U46"/>
  <c r="P46"/>
  <c r="J46"/>
  <c r="K46"/>
  <c r="H46"/>
  <c r="I46"/>
  <c r="G45"/>
  <c r="J45" s="1"/>
  <c r="U45"/>
  <c r="K43"/>
  <c r="P43"/>
  <c r="J43"/>
  <c r="H43"/>
  <c r="R44"/>
  <c r="U43"/>
  <c r="R41"/>
  <c r="K35"/>
  <c r="G33" i="3" s="1"/>
  <c r="G37" i="1"/>
  <c r="U37"/>
  <c r="I35" i="3" s="1"/>
  <c r="F33"/>
  <c r="U35" i="1"/>
  <c r="I33" i="3" s="1"/>
  <c r="U36" i="1"/>
  <c r="I34" i="3" s="1"/>
  <c r="P37" i="1"/>
  <c r="H35" i="3" s="1"/>
  <c r="G79" i="1"/>
  <c r="H79" s="1"/>
  <c r="G67"/>
  <c r="I67" s="1"/>
  <c r="U85"/>
  <c r="K81"/>
  <c r="G82" i="3" s="1"/>
  <c r="G81" i="1"/>
  <c r="H81" s="1"/>
  <c r="U86"/>
  <c r="I87" i="3" s="1"/>
  <c r="G70" i="1"/>
  <c r="I70" s="1"/>
  <c r="U64"/>
  <c r="I65" i="3" s="1"/>
  <c r="U88" i="1"/>
  <c r="I89" i="3" s="1"/>
  <c r="K82" i="1"/>
  <c r="G83" i="3" s="1"/>
  <c r="P85" i="1"/>
  <c r="H86" i="3" s="1"/>
  <c r="P86" i="1"/>
  <c r="H87" i="3" s="1"/>
  <c r="P87" i="1"/>
  <c r="H88" i="3" s="1"/>
  <c r="G64" i="1"/>
  <c r="I64" s="1"/>
  <c r="P88"/>
  <c r="H89" i="3" s="1"/>
  <c r="P89" i="1"/>
  <c r="H90" i="3" s="1"/>
  <c r="G85" i="1"/>
  <c r="G86"/>
  <c r="G87"/>
  <c r="G88"/>
  <c r="G89"/>
  <c r="P67"/>
  <c r="H68" i="3" s="1"/>
  <c r="K71" i="1"/>
  <c r="G72" i="3" s="1"/>
  <c r="K67" i="1"/>
  <c r="G68" i="3" s="1"/>
  <c r="U71" i="1"/>
  <c r="I72" i="3" s="1"/>
  <c r="G71" i="1"/>
  <c r="I71" s="1"/>
  <c r="G84"/>
  <c r="H84" s="1"/>
  <c r="G82"/>
  <c r="H82" s="1"/>
  <c r="K83"/>
  <c r="G84" i="3" s="1"/>
  <c r="K77" i="1"/>
  <c r="G78" i="3" s="1"/>
  <c r="G83" i="1"/>
  <c r="I83" s="1"/>
  <c r="K84"/>
  <c r="G85" i="3" s="1"/>
  <c r="K76" i="1"/>
  <c r="G77" i="3" s="1"/>
  <c r="K80" i="1"/>
  <c r="G81" i="3" s="1"/>
  <c r="G80" i="1"/>
  <c r="H80" s="1"/>
  <c r="K79"/>
  <c r="G80" i="3" s="1"/>
  <c r="K78" i="1"/>
  <c r="G79" i="3" s="1"/>
  <c r="G78" i="1"/>
  <c r="H78" s="1"/>
  <c r="G77"/>
  <c r="H77" s="1"/>
  <c r="R78"/>
  <c r="R82"/>
  <c r="R79"/>
  <c r="R83"/>
  <c r="R76"/>
  <c r="R80"/>
  <c r="R84"/>
  <c r="R77"/>
  <c r="R81"/>
  <c r="I76"/>
  <c r="V76"/>
  <c r="W76" s="1"/>
  <c r="U77"/>
  <c r="I78" i="3" s="1"/>
  <c r="U78" i="1"/>
  <c r="I79" i="3" s="1"/>
  <c r="U79" i="1"/>
  <c r="I80" i="3" s="1"/>
  <c r="U80" i="1"/>
  <c r="I81" i="3" s="1"/>
  <c r="U81" i="1"/>
  <c r="I82" i="3" s="1"/>
  <c r="U82" i="1"/>
  <c r="I83" i="3" s="1"/>
  <c r="U83" i="1"/>
  <c r="I84" i="3" s="1"/>
  <c r="U84" i="1"/>
  <c r="I85" i="3" s="1"/>
  <c r="J76" i="1"/>
  <c r="R71"/>
  <c r="U63"/>
  <c r="I64" i="3" s="1"/>
  <c r="P63" i="1"/>
  <c r="H64" i="3" s="1"/>
  <c r="G68" i="1"/>
  <c r="J68" s="1"/>
  <c r="H69"/>
  <c r="J69"/>
  <c r="U66"/>
  <c r="I67" i="3" s="1"/>
  <c r="P66" i="1"/>
  <c r="H67" i="3" s="1"/>
  <c r="G66" i="1"/>
  <c r="V65"/>
  <c r="W65" s="1"/>
  <c r="G65"/>
  <c r="K65"/>
  <c r="G66" i="3" s="1"/>
  <c r="G63" i="1"/>
  <c r="V62"/>
  <c r="Q62"/>
  <c r="R62" s="1"/>
  <c r="M62"/>
  <c r="V61"/>
  <c r="W61" s="1"/>
  <c r="G60"/>
  <c r="U60"/>
  <c r="I61" i="3" s="1"/>
  <c r="G54" i="1"/>
  <c r="U53"/>
  <c r="I54" i="3" s="1"/>
  <c r="Q38" i="1"/>
  <c r="R38" s="1"/>
  <c r="N38"/>
  <c r="O38" s="1"/>
  <c r="J38"/>
  <c r="I38"/>
  <c r="L37"/>
  <c r="Q36"/>
  <c r="R36" s="1"/>
  <c r="G36"/>
  <c r="H36" s="1"/>
  <c r="F34"/>
  <c r="W33"/>
  <c r="Q33"/>
  <c r="R33" s="1"/>
  <c r="L33"/>
  <c r="M33" s="1"/>
  <c r="N32"/>
  <c r="S32" s="1"/>
  <c r="J32"/>
  <c r="I32"/>
  <c r="I30" i="3" s="1"/>
  <c r="F32" i="1"/>
  <c r="F29" i="3"/>
  <c r="F24"/>
  <c r="F23"/>
  <c r="F22"/>
  <c r="F21"/>
  <c r="F20"/>
  <c r="F19"/>
  <c r="F18"/>
  <c r="F17"/>
  <c r="F12"/>
  <c r="F11"/>
  <c r="V10" i="1"/>
  <c r="Q10"/>
  <c r="L10"/>
  <c r="G10"/>
  <c r="E15" i="2"/>
  <c r="E14"/>
  <c r="E13"/>
  <c r="E12"/>
  <c r="C15"/>
  <c r="C14"/>
  <c r="C13"/>
  <c r="C12"/>
  <c r="C9"/>
  <c r="C10"/>
  <c r="C11"/>
  <c r="V43" i="1" l="1"/>
  <c r="W43" s="1"/>
  <c r="I41" i="3"/>
  <c r="Q43" i="1"/>
  <c r="R43" s="1"/>
  <c r="H41" i="3"/>
  <c r="V45" i="1"/>
  <c r="W45" s="1"/>
  <c r="I43" i="3"/>
  <c r="G44"/>
  <c r="G47"/>
  <c r="H47"/>
  <c r="H44"/>
  <c r="Q49" i="1"/>
  <c r="H50" i="3"/>
  <c r="L49" i="1"/>
  <c r="M49" s="1"/>
  <c r="G50" i="3"/>
  <c r="L42" i="1"/>
  <c r="M42" s="1"/>
  <c r="G40" i="3"/>
  <c r="L41" i="1"/>
  <c r="M41" s="1"/>
  <c r="G39" i="3"/>
  <c r="V69" i="1"/>
  <c r="W69" s="1"/>
  <c r="I70" i="3"/>
  <c r="V72" i="1"/>
  <c r="W72" s="1"/>
  <c r="I73" i="3"/>
  <c r="L70" i="1"/>
  <c r="M70" s="1"/>
  <c r="G71" i="3"/>
  <c r="V73" i="1"/>
  <c r="W73" s="1"/>
  <c r="I74" i="3"/>
  <c r="Q65" i="1"/>
  <c r="R65" s="1"/>
  <c r="H66" i="3"/>
  <c r="L74" i="1"/>
  <c r="M74" s="1"/>
  <c r="G75" i="3"/>
  <c r="V85" i="1"/>
  <c r="W85" s="1"/>
  <c r="I86" i="3"/>
  <c r="L43" i="1"/>
  <c r="G41" i="3"/>
  <c r="V46" i="1"/>
  <c r="W46" s="1"/>
  <c r="I44" i="3"/>
  <c r="I47"/>
  <c r="Q42" i="1"/>
  <c r="R42" s="1"/>
  <c r="H40" i="3"/>
  <c r="V44" i="1"/>
  <c r="W44" s="1"/>
  <c r="I42" i="3"/>
  <c r="V41" i="1"/>
  <c r="W41" s="1"/>
  <c r="I39" i="3"/>
  <c r="L72" i="1"/>
  <c r="M72" s="1"/>
  <c r="G73" i="3"/>
  <c r="Q73" i="1"/>
  <c r="R73" s="1"/>
  <c r="H74" i="3"/>
  <c r="L75" i="1"/>
  <c r="M75" s="1"/>
  <c r="G76" i="3"/>
  <c r="V70" i="1"/>
  <c r="W70" s="1"/>
  <c r="I71" i="3"/>
  <c r="Q74" i="1"/>
  <c r="R74" s="1"/>
  <c r="H75" i="3"/>
  <c r="L89" i="1"/>
  <c r="M89" s="1"/>
  <c r="G90" i="3"/>
  <c r="N74" i="1"/>
  <c r="O74" s="1"/>
  <c r="L68"/>
  <c r="M68" s="1"/>
  <c r="Q69"/>
  <c r="R69" s="1"/>
  <c r="S73"/>
  <c r="T73" s="1"/>
  <c r="H74"/>
  <c r="I44"/>
  <c r="I74"/>
  <c r="J74"/>
  <c r="Q68"/>
  <c r="R68" s="1"/>
  <c r="N41"/>
  <c r="O41" s="1"/>
  <c r="J75"/>
  <c r="H75"/>
  <c r="N75"/>
  <c r="S74"/>
  <c r="T74" s="1"/>
  <c r="N72"/>
  <c r="L69"/>
  <c r="Q61"/>
  <c r="R61" s="1"/>
  <c r="L36"/>
  <c r="M36" s="1"/>
  <c r="L35"/>
  <c r="M35" s="1"/>
  <c r="K44"/>
  <c r="J42"/>
  <c r="H67"/>
  <c r="H44"/>
  <c r="V36"/>
  <c r="W36" s="1"/>
  <c r="V51"/>
  <c r="N42"/>
  <c r="O42" s="1"/>
  <c r="H42"/>
  <c r="I42"/>
  <c r="H49"/>
  <c r="N49"/>
  <c r="O49" s="1"/>
  <c r="I49"/>
  <c r="R49"/>
  <c r="Q37"/>
  <c r="N37"/>
  <c r="O37" s="1"/>
  <c r="N70"/>
  <c r="O70" s="1"/>
  <c r="Q46"/>
  <c r="R46" s="1"/>
  <c r="L46"/>
  <c r="K45"/>
  <c r="I45"/>
  <c r="H45"/>
  <c r="N43"/>
  <c r="S43" s="1"/>
  <c r="T43" s="1"/>
  <c r="M43"/>
  <c r="S42"/>
  <c r="V37"/>
  <c r="W37" s="1"/>
  <c r="J79"/>
  <c r="I79"/>
  <c r="J67"/>
  <c r="J70"/>
  <c r="J82"/>
  <c r="U16"/>
  <c r="F16" i="3"/>
  <c r="V81" i="1"/>
  <c r="W81" s="1"/>
  <c r="L67"/>
  <c r="M67" s="1"/>
  <c r="V86"/>
  <c r="W86" s="1"/>
  <c r="U15"/>
  <c r="F15" i="3"/>
  <c r="P40" i="1"/>
  <c r="H38" i="3" s="1"/>
  <c r="V60" i="1"/>
  <c r="Q66"/>
  <c r="R66" s="1"/>
  <c r="V71"/>
  <c r="W71" s="1"/>
  <c r="L71"/>
  <c r="M71" s="1"/>
  <c r="Q88"/>
  <c r="R88" s="1"/>
  <c r="L82"/>
  <c r="M82" s="1"/>
  <c r="V88"/>
  <c r="W88" s="1"/>
  <c r="U14"/>
  <c r="F14" i="3"/>
  <c r="P27" i="1"/>
  <c r="F26" i="3"/>
  <c r="H32" i="1"/>
  <c r="F30" i="3"/>
  <c r="K39" i="1"/>
  <c r="G37" i="3" s="1"/>
  <c r="K59" i="1"/>
  <c r="G60" i="3" s="1"/>
  <c r="L65" i="1"/>
  <c r="M65" s="1"/>
  <c r="V63"/>
  <c r="W63" s="1"/>
  <c r="V79"/>
  <c r="W79" s="1"/>
  <c r="V77"/>
  <c r="W77" s="1"/>
  <c r="L79"/>
  <c r="M79" s="1"/>
  <c r="L84"/>
  <c r="M84" s="1"/>
  <c r="Q89"/>
  <c r="R89" s="1"/>
  <c r="Q85"/>
  <c r="R85" s="1"/>
  <c r="R64"/>
  <c r="V64"/>
  <c r="W64" s="1"/>
  <c r="L81"/>
  <c r="M81" s="1"/>
  <c r="H70"/>
  <c r="P29"/>
  <c r="F28" i="3"/>
  <c r="G47" i="1"/>
  <c r="K47" s="1"/>
  <c r="V66"/>
  <c r="W66" s="1"/>
  <c r="V84"/>
  <c r="W84" s="1"/>
  <c r="V78"/>
  <c r="W78" s="1"/>
  <c r="L80"/>
  <c r="M80" s="1"/>
  <c r="L77"/>
  <c r="M77" s="1"/>
  <c r="Q67"/>
  <c r="R67" s="1"/>
  <c r="Q87"/>
  <c r="R87" s="1"/>
  <c r="G28"/>
  <c r="I28" s="1"/>
  <c r="F27" i="3"/>
  <c r="K61" i="1"/>
  <c r="G62" i="3" s="1"/>
  <c r="V82" i="1"/>
  <c r="W82" s="1"/>
  <c r="U13"/>
  <c r="F13" i="3"/>
  <c r="P26" i="1"/>
  <c r="F25" i="3"/>
  <c r="K34" i="1"/>
  <c r="F32" i="3"/>
  <c r="Q63" i="1"/>
  <c r="R63" s="1"/>
  <c r="V83"/>
  <c r="W83" s="1"/>
  <c r="V80"/>
  <c r="W80" s="1"/>
  <c r="L78"/>
  <c r="M78" s="1"/>
  <c r="L76"/>
  <c r="N76" s="1"/>
  <c r="O76" s="1"/>
  <c r="L83"/>
  <c r="M83" s="1"/>
  <c r="Q86"/>
  <c r="R86" s="1"/>
  <c r="I78"/>
  <c r="J84"/>
  <c r="P31"/>
  <c r="G31"/>
  <c r="G29" i="3" s="1"/>
  <c r="J81" i="1"/>
  <c r="I81"/>
  <c r="O64"/>
  <c r="I84"/>
  <c r="J78"/>
  <c r="J80"/>
  <c r="N89"/>
  <c r="J89"/>
  <c r="H89"/>
  <c r="I89"/>
  <c r="N85"/>
  <c r="J85"/>
  <c r="H85"/>
  <c r="I85"/>
  <c r="N88"/>
  <c r="J88"/>
  <c r="I88"/>
  <c r="H88"/>
  <c r="N86"/>
  <c r="J86"/>
  <c r="H86"/>
  <c r="I86"/>
  <c r="N87"/>
  <c r="J87"/>
  <c r="I87"/>
  <c r="H87"/>
  <c r="H71"/>
  <c r="J71"/>
  <c r="I68"/>
  <c r="J77"/>
  <c r="I77"/>
  <c r="I82"/>
  <c r="I80"/>
  <c r="G14"/>
  <c r="H14" s="1"/>
  <c r="G61"/>
  <c r="H61" s="1"/>
  <c r="N68"/>
  <c r="H68"/>
  <c r="N66"/>
  <c r="O66" s="1"/>
  <c r="J66"/>
  <c r="H66"/>
  <c r="I66"/>
  <c r="H65"/>
  <c r="J65"/>
  <c r="I65"/>
  <c r="N63"/>
  <c r="J63"/>
  <c r="H63"/>
  <c r="I63"/>
  <c r="K28"/>
  <c r="U28"/>
  <c r="U40"/>
  <c r="I38" i="3" s="1"/>
  <c r="K60" i="1"/>
  <c r="G61" i="3" s="1"/>
  <c r="Q60" i="1"/>
  <c r="I60"/>
  <c r="G59"/>
  <c r="H59" s="1"/>
  <c r="U59"/>
  <c r="I60" i="3" s="1"/>
  <c r="P59" i="1"/>
  <c r="H60" i="3" s="1"/>
  <c r="U47" i="1"/>
  <c r="K40"/>
  <c r="G38" i="3" s="1"/>
  <c r="P16" i="1"/>
  <c r="K29"/>
  <c r="G39"/>
  <c r="H39" s="1"/>
  <c r="P47"/>
  <c r="O32"/>
  <c r="G40"/>
  <c r="J40" s="1"/>
  <c r="K13"/>
  <c r="P28"/>
  <c r="U27"/>
  <c r="S38"/>
  <c r="X38" s="1"/>
  <c r="M37"/>
  <c r="J37"/>
  <c r="I37"/>
  <c r="J36"/>
  <c r="I36"/>
  <c r="U34"/>
  <c r="V35"/>
  <c r="W35" s="1"/>
  <c r="P34"/>
  <c r="Q35"/>
  <c r="G34"/>
  <c r="G35"/>
  <c r="G33"/>
  <c r="X32"/>
  <c r="T32"/>
  <c r="K32"/>
  <c r="M32" s="1"/>
  <c r="R32"/>
  <c r="G27"/>
  <c r="K27"/>
  <c r="G26"/>
  <c r="U26"/>
  <c r="K26"/>
  <c r="U29"/>
  <c r="G29"/>
  <c r="J29" s="1"/>
  <c r="P14"/>
  <c r="G16"/>
  <c r="H16" s="1"/>
  <c r="K15"/>
  <c r="G13"/>
  <c r="P13"/>
  <c r="K14"/>
  <c r="G15"/>
  <c r="J15" s="1"/>
  <c r="P15"/>
  <c r="K16"/>
  <c r="U58"/>
  <c r="I59" i="3" s="1"/>
  <c r="P58" i="1"/>
  <c r="H59" i="3" s="1"/>
  <c r="K58" i="1"/>
  <c r="G59" i="3" s="1"/>
  <c r="G58" i="1"/>
  <c r="H58" s="1"/>
  <c r="R57"/>
  <c r="L57"/>
  <c r="G57"/>
  <c r="H57" s="1"/>
  <c r="V56"/>
  <c r="W56" s="1"/>
  <c r="Q56"/>
  <c r="R56" s="1"/>
  <c r="L56"/>
  <c r="M56" s="1"/>
  <c r="G56"/>
  <c r="V55"/>
  <c r="Q55"/>
  <c r="K55"/>
  <c r="G56" i="3" s="1"/>
  <c r="I55" i="1"/>
  <c r="V54"/>
  <c r="W54" s="1"/>
  <c r="Q54"/>
  <c r="R54" s="1"/>
  <c r="L54"/>
  <c r="M54" s="1"/>
  <c r="V53"/>
  <c r="W53" s="1"/>
  <c r="K53"/>
  <c r="G54" i="3" s="1"/>
  <c r="G53" i="1"/>
  <c r="H53" s="1"/>
  <c r="E11" i="2"/>
  <c r="E10"/>
  <c r="E9"/>
  <c r="B9"/>
  <c r="H48" i="3" l="1"/>
  <c r="H45"/>
  <c r="L45" i="1"/>
  <c r="M45" s="1"/>
  <c r="G43" i="3"/>
  <c r="L44" i="1"/>
  <c r="M44" s="1"/>
  <c r="G42" i="3"/>
  <c r="I48"/>
  <c r="I45"/>
  <c r="G48"/>
  <c r="G45"/>
  <c r="X73" i="1"/>
  <c r="Y73" s="1"/>
  <c r="N36"/>
  <c r="O36" s="1"/>
  <c r="N80"/>
  <c r="O80" s="1"/>
  <c r="S70"/>
  <c r="X70" s="1"/>
  <c r="N44"/>
  <c r="O44" s="1"/>
  <c r="S41"/>
  <c r="T41" s="1"/>
  <c r="X74"/>
  <c r="Y74" s="1"/>
  <c r="O75"/>
  <c r="S75"/>
  <c r="O72"/>
  <c r="S72"/>
  <c r="M69"/>
  <c r="N69"/>
  <c r="S37"/>
  <c r="X37" s="1"/>
  <c r="J47"/>
  <c r="N83"/>
  <c r="O83" s="1"/>
  <c r="S49"/>
  <c r="X49" s="1"/>
  <c r="M46"/>
  <c r="N46"/>
  <c r="N45"/>
  <c r="O45" s="1"/>
  <c r="O43"/>
  <c r="X43"/>
  <c r="X42"/>
  <c r="T42"/>
  <c r="N82"/>
  <c r="O82" s="1"/>
  <c r="N77"/>
  <c r="O77" s="1"/>
  <c r="N84"/>
  <c r="O84" s="1"/>
  <c r="N81"/>
  <c r="O81" s="1"/>
  <c r="J61"/>
  <c r="H47"/>
  <c r="H28"/>
  <c r="J28"/>
  <c r="I47"/>
  <c r="N78"/>
  <c r="S78" s="1"/>
  <c r="L55"/>
  <c r="Q15"/>
  <c r="R15" s="1"/>
  <c r="H15" i="3"/>
  <c r="Q16" i="1"/>
  <c r="R16" s="1"/>
  <c r="H16" i="3"/>
  <c r="L60" i="1"/>
  <c r="N60" s="1"/>
  <c r="S60" s="1"/>
  <c r="X60" s="1"/>
  <c r="V13"/>
  <c r="W13" s="1"/>
  <c r="I13" i="3"/>
  <c r="L61" i="1"/>
  <c r="M61" s="1"/>
  <c r="Q29"/>
  <c r="R29" s="1"/>
  <c r="H28" i="3"/>
  <c r="Q40" i="1"/>
  <c r="R40" s="1"/>
  <c r="Q13"/>
  <c r="R13" s="1"/>
  <c r="H13" i="3"/>
  <c r="Q28" i="1"/>
  <c r="R28" s="1"/>
  <c r="H27" i="3"/>
  <c r="L29" i="1"/>
  <c r="M29" s="1"/>
  <c r="G28" i="3"/>
  <c r="L28" i="1"/>
  <c r="M28" s="1"/>
  <c r="G27" i="3"/>
  <c r="H29"/>
  <c r="Q31" i="1"/>
  <c r="Q53"/>
  <c r="R53" s="1"/>
  <c r="V57"/>
  <c r="W57" s="1"/>
  <c r="V58"/>
  <c r="W58" s="1"/>
  <c r="L14"/>
  <c r="M14" s="1"/>
  <c r="G14" i="3"/>
  <c r="L26" i="1"/>
  <c r="M26" s="1"/>
  <c r="G25" i="3"/>
  <c r="V34" i="1"/>
  <c r="W34" s="1"/>
  <c r="I32" i="3"/>
  <c r="V27" i="1"/>
  <c r="W27" s="1"/>
  <c r="I26" i="3"/>
  <c r="V47" i="1"/>
  <c r="W47" s="1"/>
  <c r="V28"/>
  <c r="W28" s="1"/>
  <c r="I27" i="3"/>
  <c r="Q26" i="1"/>
  <c r="R26" s="1"/>
  <c r="H25" i="3"/>
  <c r="L47" i="1"/>
  <c r="L59"/>
  <c r="M59" s="1"/>
  <c r="V14"/>
  <c r="W14" s="1"/>
  <c r="I14" i="3"/>
  <c r="V15" i="1"/>
  <c r="W15" s="1"/>
  <c r="I15" i="3"/>
  <c r="N65" i="1"/>
  <c r="O65" s="1"/>
  <c r="N71"/>
  <c r="S71" s="1"/>
  <c r="S64"/>
  <c r="T70"/>
  <c r="N67"/>
  <c r="O67" s="1"/>
  <c r="L58"/>
  <c r="M58" s="1"/>
  <c r="Q34"/>
  <c r="R34" s="1"/>
  <c r="H32" i="3"/>
  <c r="L13" i="1"/>
  <c r="M13" s="1"/>
  <c r="G13" i="3"/>
  <c r="V59" i="1"/>
  <c r="W59" s="1"/>
  <c r="L34"/>
  <c r="M34" s="1"/>
  <c r="G32" i="3"/>
  <c r="Q27" i="1"/>
  <c r="R27" s="1"/>
  <c r="H26" i="3"/>
  <c r="V16" i="1"/>
  <c r="W16" s="1"/>
  <c r="I16" i="3"/>
  <c r="L16" i="1"/>
  <c r="M16" s="1"/>
  <c r="G16" i="3"/>
  <c r="Q14" i="1"/>
  <c r="R14" s="1"/>
  <c r="H14" i="3"/>
  <c r="V26" i="1"/>
  <c r="W26" s="1"/>
  <c r="I25" i="3"/>
  <c r="Y32" i="1"/>
  <c r="F30" i="2"/>
  <c r="G30" s="1"/>
  <c r="Q47" i="1"/>
  <c r="R47" s="1"/>
  <c r="Q59"/>
  <c r="R59" s="1"/>
  <c r="L53"/>
  <c r="M53" s="1"/>
  <c r="Q58"/>
  <c r="L15"/>
  <c r="M15" s="1"/>
  <c r="G15" i="3"/>
  <c r="V29" i="1"/>
  <c r="W29" s="1"/>
  <c r="I28" i="3"/>
  <c r="L27" i="1"/>
  <c r="M27" s="1"/>
  <c r="G26" i="3"/>
  <c r="L40" i="1"/>
  <c r="M40" s="1"/>
  <c r="V40"/>
  <c r="W40" s="1"/>
  <c r="N79"/>
  <c r="O79" s="1"/>
  <c r="O86"/>
  <c r="S86"/>
  <c r="O89"/>
  <c r="S89"/>
  <c r="O87"/>
  <c r="S87"/>
  <c r="O88"/>
  <c r="S88"/>
  <c r="O85"/>
  <c r="S85"/>
  <c r="I61"/>
  <c r="S80"/>
  <c r="T80" s="1"/>
  <c r="S76"/>
  <c r="X76" s="1"/>
  <c r="I14"/>
  <c r="S66"/>
  <c r="X66" s="1"/>
  <c r="O68"/>
  <c r="S68"/>
  <c r="J14"/>
  <c r="O63"/>
  <c r="S63"/>
  <c r="I62"/>
  <c r="N62"/>
  <c r="J62"/>
  <c r="H40"/>
  <c r="I15"/>
  <c r="I59"/>
  <c r="J59"/>
  <c r="J39"/>
  <c r="I39"/>
  <c r="L39"/>
  <c r="M39" s="1"/>
  <c r="I16"/>
  <c r="I40"/>
  <c r="V39"/>
  <c r="W39" s="1"/>
  <c r="T38"/>
  <c r="S36"/>
  <c r="T36" s="1"/>
  <c r="H34"/>
  <c r="I34"/>
  <c r="J34"/>
  <c r="H35"/>
  <c r="I35"/>
  <c r="N35"/>
  <c r="O35" s="1"/>
  <c r="J35"/>
  <c r="R35"/>
  <c r="N33"/>
  <c r="J33"/>
  <c r="I33"/>
  <c r="H29"/>
  <c r="I26"/>
  <c r="H26"/>
  <c r="H27"/>
  <c r="I27"/>
  <c r="J27"/>
  <c r="I29"/>
  <c r="J16"/>
  <c r="J26"/>
  <c r="H13"/>
  <c r="H15"/>
  <c r="J13"/>
  <c r="I13"/>
  <c r="N56"/>
  <c r="O56" s="1"/>
  <c r="I56"/>
  <c r="H56"/>
  <c r="I57"/>
  <c r="J57"/>
  <c r="M57"/>
  <c r="N57"/>
  <c r="O57" s="1"/>
  <c r="I54"/>
  <c r="I58"/>
  <c r="N54"/>
  <c r="J56"/>
  <c r="I53"/>
  <c r="Y42" l="1"/>
  <c r="F40" i="2"/>
  <c r="G40" s="1"/>
  <c r="Y49" i="1"/>
  <c r="F47" i="2"/>
  <c r="G47" s="1"/>
  <c r="Y43" i="1"/>
  <c r="F41" i="2"/>
  <c r="G41" s="1"/>
  <c r="Y70" i="1"/>
  <c r="F68" i="2"/>
  <c r="G68" s="1"/>
  <c r="X41" i="1"/>
  <c r="S44"/>
  <c r="T44" s="1"/>
  <c r="T75"/>
  <c r="X75"/>
  <c r="Y75" s="1"/>
  <c r="X72"/>
  <c r="Y72" s="1"/>
  <c r="T72"/>
  <c r="O69"/>
  <c r="S69"/>
  <c r="T37"/>
  <c r="T64"/>
  <c r="X64"/>
  <c r="S83"/>
  <c r="T83" s="1"/>
  <c r="S45"/>
  <c r="X45" s="1"/>
  <c r="S81"/>
  <c r="X81" s="1"/>
  <c r="F79" i="2" s="1"/>
  <c r="G79" s="1"/>
  <c r="O46" i="1"/>
  <c r="S46"/>
  <c r="T45"/>
  <c r="X44"/>
  <c r="S82"/>
  <c r="T82" s="1"/>
  <c r="O78"/>
  <c r="S77"/>
  <c r="T77" s="1"/>
  <c r="S84"/>
  <c r="X84" s="1"/>
  <c r="Y84" s="1"/>
  <c r="Q39"/>
  <c r="R39" s="1"/>
  <c r="N27"/>
  <c r="O27" s="1"/>
  <c r="N29"/>
  <c r="O29" s="1"/>
  <c r="S65"/>
  <c r="X65" s="1"/>
  <c r="N53"/>
  <c r="S53" s="1"/>
  <c r="N15"/>
  <c r="O15" s="1"/>
  <c r="N34"/>
  <c r="O34" s="1"/>
  <c r="N59"/>
  <c r="S59" s="1"/>
  <c r="N14"/>
  <c r="O14" s="1"/>
  <c r="S67"/>
  <c r="T67" s="1"/>
  <c r="N13"/>
  <c r="O13" s="1"/>
  <c r="N16"/>
  <c r="O16" s="1"/>
  <c r="S79"/>
  <c r="X79" s="1"/>
  <c r="F77" i="2" s="1"/>
  <c r="G77" s="1"/>
  <c r="Y38" i="1"/>
  <c r="F36" i="2"/>
  <c r="G36" s="1"/>
  <c r="Y60" i="1"/>
  <c r="F58" i="2"/>
  <c r="G58" s="1"/>
  <c r="Y66" i="1"/>
  <c r="F64" i="2"/>
  <c r="G64" s="1"/>
  <c r="N55" i="1"/>
  <c r="S55" s="1"/>
  <c r="N40"/>
  <c r="O40" s="1"/>
  <c r="T76"/>
  <c r="O71"/>
  <c r="M47"/>
  <c r="N47"/>
  <c r="Y37"/>
  <c r="F35" i="2"/>
  <c r="G35" s="1"/>
  <c r="Y76" i="1"/>
  <c r="F74" i="2"/>
  <c r="G74" s="1"/>
  <c r="N26" i="1"/>
  <c r="O26" s="1"/>
  <c r="N58"/>
  <c r="S58" s="1"/>
  <c r="N28"/>
  <c r="S28" s="1"/>
  <c r="X28" s="1"/>
  <c r="F27" i="2" s="1"/>
  <c r="N61" i="1"/>
  <c r="T66"/>
  <c r="X85"/>
  <c r="T85"/>
  <c r="X87"/>
  <c r="T87"/>
  <c r="X86"/>
  <c r="T86"/>
  <c r="X88"/>
  <c r="T88"/>
  <c r="X89"/>
  <c r="T89"/>
  <c r="T71"/>
  <c r="X71"/>
  <c r="X80"/>
  <c r="X78"/>
  <c r="T78"/>
  <c r="X68"/>
  <c r="T68"/>
  <c r="X63"/>
  <c r="T63"/>
  <c r="S62"/>
  <c r="O62"/>
  <c r="S35"/>
  <c r="X35" s="1"/>
  <c r="N39"/>
  <c r="O39" s="1"/>
  <c r="X36"/>
  <c r="O33"/>
  <c r="S33"/>
  <c r="S56"/>
  <c r="T56" s="1"/>
  <c r="S57"/>
  <c r="X57" s="1"/>
  <c r="F55" i="2" s="1"/>
  <c r="G55" s="1"/>
  <c r="S54" i="1"/>
  <c r="X54" s="1"/>
  <c r="Y45" l="1"/>
  <c r="F43" i="2"/>
  <c r="G43" s="1"/>
  <c r="Y41" i="1"/>
  <c r="F39" i="2"/>
  <c r="G39" s="1"/>
  <c r="Y68" i="1"/>
  <c r="F66" i="2"/>
  <c r="G66" s="1"/>
  <c r="Y44" i="1"/>
  <c r="F42" i="2"/>
  <c r="G42" s="1"/>
  <c r="Y81" i="1"/>
  <c r="T69"/>
  <c r="X69"/>
  <c r="X83"/>
  <c r="F81" i="2" s="1"/>
  <c r="G81" s="1"/>
  <c r="F52"/>
  <c r="Y54" i="1"/>
  <c r="G52" i="2" s="1"/>
  <c r="T81" i="1"/>
  <c r="O59"/>
  <c r="S29"/>
  <c r="X29" s="1"/>
  <c r="F28" i="2" s="1"/>
  <c r="X46" i="1"/>
  <c r="T46"/>
  <c r="S16"/>
  <c r="T16" s="1"/>
  <c r="S34"/>
  <c r="T34" s="1"/>
  <c r="F62" i="2"/>
  <c r="T84" i="1"/>
  <c r="X82"/>
  <c r="S15"/>
  <c r="X15" s="1"/>
  <c r="F14" i="2" s="1"/>
  <c r="T28" i="1"/>
  <c r="S27"/>
  <c r="X27" s="1"/>
  <c r="F26" i="2" s="1"/>
  <c r="F73"/>
  <c r="G73" s="1"/>
  <c r="F82"/>
  <c r="G82" s="1"/>
  <c r="X77" i="1"/>
  <c r="F75" i="2" s="1"/>
  <c r="G75" s="1"/>
  <c r="T65" i="1"/>
  <c r="S14"/>
  <c r="T14" s="1"/>
  <c r="Y79"/>
  <c r="O28"/>
  <c r="X67"/>
  <c r="F65" i="2" s="1"/>
  <c r="G65" s="1"/>
  <c r="S13" i="1"/>
  <c r="X13" s="1"/>
  <c r="F12" i="2" s="1"/>
  <c r="S26" i="1"/>
  <c r="T26" s="1"/>
  <c r="T79"/>
  <c r="Y86"/>
  <c r="F84" i="2"/>
  <c r="G84" s="1"/>
  <c r="F71"/>
  <c r="G71" s="1"/>
  <c r="Y28" i="1"/>
  <c r="G27" i="2"/>
  <c r="Y80" i="1"/>
  <c r="F78" i="2"/>
  <c r="G78" s="1"/>
  <c r="Y88" i="1"/>
  <c r="F86" i="2"/>
  <c r="G86" s="1"/>
  <c r="Y87" i="1"/>
  <c r="F85" i="2"/>
  <c r="G85" s="1"/>
  <c r="O47" i="1"/>
  <c r="S47"/>
  <c r="Y36"/>
  <c r="F34" i="2"/>
  <c r="G34" s="1"/>
  <c r="Y89" i="1"/>
  <c r="F87" i="2"/>
  <c r="G87" s="1"/>
  <c r="Y85" i="1"/>
  <c r="F83" i="2"/>
  <c r="G83" s="1"/>
  <c r="F72"/>
  <c r="G72" s="1"/>
  <c r="Y35" i="1"/>
  <c r="F33" i="2"/>
  <c r="G33" s="1"/>
  <c r="Y63" i="1"/>
  <c r="F61" i="2"/>
  <c r="G61" s="1"/>
  <c r="Y65" i="1"/>
  <c r="F63" i="2"/>
  <c r="G63" s="1"/>
  <c r="Y78" i="1"/>
  <c r="F76" i="2"/>
  <c r="G76" s="1"/>
  <c r="Y71" i="1"/>
  <c r="F69" i="2"/>
  <c r="G69" s="1"/>
  <c r="S61" i="1"/>
  <c r="O61"/>
  <c r="S40"/>
  <c r="T62"/>
  <c r="X62"/>
  <c r="T35"/>
  <c r="S39"/>
  <c r="X39" s="1"/>
  <c r="T59"/>
  <c r="X59"/>
  <c r="X33"/>
  <c r="T33"/>
  <c r="X56"/>
  <c r="F54" i="2" s="1"/>
  <c r="G54" s="1"/>
  <c r="Y57" i="1"/>
  <c r="T57"/>
  <c r="X58"/>
  <c r="X55"/>
  <c r="F53" i="2" s="1"/>
  <c r="X53" i="1"/>
  <c r="F51" i="2" s="1"/>
  <c r="U52" i="1"/>
  <c r="I53" i="3" s="1"/>
  <c r="P52" i="1"/>
  <c r="H53" i="3" s="1"/>
  <c r="K52" i="1"/>
  <c r="G53" i="3" s="1"/>
  <c r="G52" i="1"/>
  <c r="W51"/>
  <c r="Q51"/>
  <c r="L51"/>
  <c r="I51"/>
  <c r="U50"/>
  <c r="I51" i="3" s="1"/>
  <c r="P50" i="1"/>
  <c r="H51" i="3" s="1"/>
  <c r="K50" i="1"/>
  <c r="G51" i="3" s="1"/>
  <c r="U48" i="1"/>
  <c r="P48"/>
  <c r="K48"/>
  <c r="G48"/>
  <c r="H48" s="1"/>
  <c r="U31"/>
  <c r="R31"/>
  <c r="K31"/>
  <c r="U25"/>
  <c r="U24"/>
  <c r="U23"/>
  <c r="U22"/>
  <c r="P22"/>
  <c r="K22"/>
  <c r="G22"/>
  <c r="H22" s="1"/>
  <c r="U21"/>
  <c r="P21"/>
  <c r="K21"/>
  <c r="G21"/>
  <c r="I21" s="1"/>
  <c r="U20"/>
  <c r="P20"/>
  <c r="K20"/>
  <c r="G20"/>
  <c r="H20" s="1"/>
  <c r="U19"/>
  <c r="P19"/>
  <c r="K19"/>
  <c r="G19"/>
  <c r="I19" s="1"/>
  <c r="U18"/>
  <c r="P18"/>
  <c r="K18"/>
  <c r="G18"/>
  <c r="U12"/>
  <c r="P12"/>
  <c r="K12"/>
  <c r="G12"/>
  <c r="I12" s="1"/>
  <c r="U11"/>
  <c r="P11"/>
  <c r="K11"/>
  <c r="G11"/>
  <c r="J11" s="1"/>
  <c r="G46" i="3" l="1"/>
  <c r="G49"/>
  <c r="I46"/>
  <c r="I49"/>
  <c r="H49"/>
  <c r="H46"/>
  <c r="F67" i="2"/>
  <c r="G67" s="1"/>
  <c r="Y69" i="1"/>
  <c r="T29"/>
  <c r="Y83"/>
  <c r="F56" i="2"/>
  <c r="G56" s="1"/>
  <c r="Y58" i="1"/>
  <c r="M51"/>
  <c r="N51"/>
  <c r="Y46"/>
  <c r="F44" i="2"/>
  <c r="G44" s="1"/>
  <c r="X16" i="1"/>
  <c r="Y77"/>
  <c r="X34"/>
  <c r="F32" i="2" s="1"/>
  <c r="G32" s="1"/>
  <c r="Y82" i="1"/>
  <c r="F80" i="2"/>
  <c r="G80" s="1"/>
  <c r="T15" i="1"/>
  <c r="X26"/>
  <c r="T13"/>
  <c r="T27"/>
  <c r="X14"/>
  <c r="T39"/>
  <c r="Y67"/>
  <c r="V11"/>
  <c r="W11" s="1"/>
  <c r="I11" i="3"/>
  <c r="V18" i="1"/>
  <c r="W18" s="1"/>
  <c r="I17" i="3"/>
  <c r="V20" i="1"/>
  <c r="W20" s="1"/>
  <c r="I19" i="3"/>
  <c r="V22" i="1"/>
  <c r="W22" s="1"/>
  <c r="I21" i="3"/>
  <c r="Q50" i="1"/>
  <c r="Q52"/>
  <c r="R52" s="1"/>
  <c r="Y29"/>
  <c r="G28" i="2"/>
  <c r="Y59" i="1"/>
  <c r="F57" i="2"/>
  <c r="G57" s="1"/>
  <c r="Y62" i="1"/>
  <c r="F60" i="2"/>
  <c r="G60" s="1"/>
  <c r="T61" i="1"/>
  <c r="X61"/>
  <c r="Q20"/>
  <c r="R20" s="1"/>
  <c r="H19" i="3"/>
  <c r="L50" i="1"/>
  <c r="L52"/>
  <c r="M52" s="1"/>
  <c r="Y15"/>
  <c r="G14" i="2"/>
  <c r="T47" i="1"/>
  <c r="X47"/>
  <c r="L11"/>
  <c r="N11" s="1"/>
  <c r="O11" s="1"/>
  <c r="G11" i="3"/>
  <c r="L12" i="1"/>
  <c r="M12" s="1"/>
  <c r="G12" i="3"/>
  <c r="L18" i="1"/>
  <c r="M18" s="1"/>
  <c r="G17" i="3"/>
  <c r="L19" i="1"/>
  <c r="M19" s="1"/>
  <c r="G18" i="3"/>
  <c r="L20" i="1"/>
  <c r="M20" s="1"/>
  <c r="G19" i="3"/>
  <c r="L21" i="1"/>
  <c r="M21" s="1"/>
  <c r="G20" i="3"/>
  <c r="L22" i="1"/>
  <c r="M22" s="1"/>
  <c r="G21" i="3"/>
  <c r="V24" i="1"/>
  <c r="W24" s="1"/>
  <c r="I23" i="3"/>
  <c r="V31" i="1"/>
  <c r="W31" s="1"/>
  <c r="V48"/>
  <c r="W48" s="1"/>
  <c r="Y13"/>
  <c r="G12" i="2"/>
  <c r="Y27" i="1"/>
  <c r="G26" i="2"/>
  <c r="T40" i="1"/>
  <c r="X40"/>
  <c r="V12"/>
  <c r="W12" s="1"/>
  <c r="I12" i="3"/>
  <c r="V19" i="1"/>
  <c r="W19" s="1"/>
  <c r="I18" i="3"/>
  <c r="V21" i="1"/>
  <c r="W21" s="1"/>
  <c r="I20" i="3"/>
  <c r="L31" i="1"/>
  <c r="M31" s="1"/>
  <c r="L48"/>
  <c r="M48" s="1"/>
  <c r="Q11"/>
  <c r="R11" s="1"/>
  <c r="H11" i="3"/>
  <c r="Q12" i="1"/>
  <c r="R12" s="1"/>
  <c r="H12" i="3"/>
  <c r="Q18" i="1"/>
  <c r="R18" s="1"/>
  <c r="H17" i="3"/>
  <c r="Q19" i="1"/>
  <c r="R19" s="1"/>
  <c r="H18" i="3"/>
  <c r="Q21" i="1"/>
  <c r="R21" s="1"/>
  <c r="H20" i="3"/>
  <c r="Q22" i="1"/>
  <c r="R22" s="1"/>
  <c r="H21" i="3"/>
  <c r="V25" i="1"/>
  <c r="W25" s="1"/>
  <c r="I24" i="3"/>
  <c r="V23" i="1"/>
  <c r="W23" s="1"/>
  <c r="I22" i="3"/>
  <c r="Q48" i="1"/>
  <c r="R48" s="1"/>
  <c r="V50"/>
  <c r="V52"/>
  <c r="W52" s="1"/>
  <c r="Y33"/>
  <c r="F31" i="2"/>
  <c r="G31" s="1"/>
  <c r="F70"/>
  <c r="G70" s="1"/>
  <c r="Y39" i="1"/>
  <c r="F37" i="2"/>
  <c r="G37" s="1"/>
  <c r="Y56" i="1"/>
  <c r="H11"/>
  <c r="H19"/>
  <c r="P24"/>
  <c r="H21"/>
  <c r="O51"/>
  <c r="H51"/>
  <c r="J51"/>
  <c r="I48"/>
  <c r="R51"/>
  <c r="I52"/>
  <c r="H52"/>
  <c r="J52"/>
  <c r="I31"/>
  <c r="I29" i="3" s="1"/>
  <c r="H31" i="1"/>
  <c r="J31"/>
  <c r="P25"/>
  <c r="K25"/>
  <c r="G25"/>
  <c r="I25" s="1"/>
  <c r="K24"/>
  <c r="G24"/>
  <c r="H24" s="1"/>
  <c r="P23"/>
  <c r="G23"/>
  <c r="J23" s="1"/>
  <c r="K23"/>
  <c r="I22"/>
  <c r="J19"/>
  <c r="I18"/>
  <c r="H18"/>
  <c r="J20"/>
  <c r="I20"/>
  <c r="J21"/>
  <c r="J18"/>
  <c r="J22"/>
  <c r="H12"/>
  <c r="J12"/>
  <c r="I11"/>
  <c r="Y26" l="1"/>
  <c r="F25" i="2"/>
  <c r="G25" s="1"/>
  <c r="Y16" i="1"/>
  <c r="F15" i="2"/>
  <c r="G15" s="1"/>
  <c r="Y14" i="1"/>
  <c r="F13" i="2"/>
  <c r="G13" s="1"/>
  <c r="Y34" i="1"/>
  <c r="N20"/>
  <c r="O20" s="1"/>
  <c r="N18"/>
  <c r="O18" s="1"/>
  <c r="M11"/>
  <c r="N22"/>
  <c r="O22" s="1"/>
  <c r="N52"/>
  <c r="S52" s="1"/>
  <c r="T52" s="1"/>
  <c r="N31"/>
  <c r="O31" s="1"/>
  <c r="L23"/>
  <c r="M23" s="1"/>
  <c r="G22" i="3"/>
  <c r="Q25" i="1"/>
  <c r="R25" s="1"/>
  <c r="H24" i="3"/>
  <c r="Q24" i="1"/>
  <c r="R24" s="1"/>
  <c r="H23" i="3"/>
  <c r="N19" i="1"/>
  <c r="O19" s="1"/>
  <c r="N48"/>
  <c r="O48" s="1"/>
  <c r="L24"/>
  <c r="M24" s="1"/>
  <c r="G23" i="3"/>
  <c r="Y47" i="1"/>
  <c r="F45" i="2"/>
  <c r="G45" s="1"/>
  <c r="Y61" i="1"/>
  <c r="F59" i="2"/>
  <c r="G59" s="1"/>
  <c r="Q23" i="1"/>
  <c r="R23" s="1"/>
  <c r="H22" i="3"/>
  <c r="L25" i="1"/>
  <c r="M25" s="1"/>
  <c r="G24" i="3"/>
  <c r="Y40" i="1"/>
  <c r="F38" i="2"/>
  <c r="G38" s="1"/>
  <c r="N12" i="1"/>
  <c r="O12" s="1"/>
  <c r="N21"/>
  <c r="O21" s="1"/>
  <c r="I24"/>
  <c r="S18"/>
  <c r="X18" s="1"/>
  <c r="F17" i="2" s="1"/>
  <c r="S51" i="1"/>
  <c r="T51" s="1"/>
  <c r="J25"/>
  <c r="H25"/>
  <c r="J24"/>
  <c r="I23"/>
  <c r="H23"/>
  <c r="S11"/>
  <c r="T11" s="1"/>
  <c r="S21" l="1"/>
  <c r="T21" s="1"/>
  <c r="S20"/>
  <c r="T20" s="1"/>
  <c r="S22"/>
  <c r="T22" s="1"/>
  <c r="S12"/>
  <c r="X12" s="1"/>
  <c r="F11" i="2" s="1"/>
  <c r="X52" i="1"/>
  <c r="F50" i="2" s="1"/>
  <c r="G50" s="1"/>
  <c r="S19" i="1"/>
  <c r="X19" s="1"/>
  <c r="F18" i="2" s="1"/>
  <c r="N24" i="1"/>
  <c r="S24" s="1"/>
  <c r="T24" s="1"/>
  <c r="S31"/>
  <c r="T31" s="1"/>
  <c r="O52"/>
  <c r="S48"/>
  <c r="X48" s="1"/>
  <c r="F46" i="2" s="1"/>
  <c r="G46" s="1"/>
  <c r="N25" i="1"/>
  <c r="O25" s="1"/>
  <c r="N23"/>
  <c r="O23" s="1"/>
  <c r="G17" i="2"/>
  <c r="T18" i="1"/>
  <c r="X22"/>
  <c r="F21" i="2" s="1"/>
  <c r="Y18" i="1"/>
  <c r="X51"/>
  <c r="F49" i="2" s="1"/>
  <c r="G49" s="1"/>
  <c r="X20" i="1"/>
  <c r="F19" i="2" s="1"/>
  <c r="X11" i="1"/>
  <c r="F10" i="2" s="1"/>
  <c r="I10" i="1"/>
  <c r="H10"/>
  <c r="H92" s="1"/>
  <c r="T12" l="1"/>
  <c r="X21"/>
  <c r="X31"/>
  <c r="Y31" s="1"/>
  <c r="S23"/>
  <c r="X23" s="1"/>
  <c r="F22" i="2" s="1"/>
  <c r="T19" i="1"/>
  <c r="Y52"/>
  <c r="X24"/>
  <c r="O24"/>
  <c r="G21" i="2"/>
  <c r="G18"/>
  <c r="S25" i="1"/>
  <c r="T25" s="1"/>
  <c r="Y22"/>
  <c r="Y20"/>
  <c r="G19" i="2"/>
  <c r="Y48" i="1"/>
  <c r="Y51"/>
  <c r="Y12"/>
  <c r="G11" i="2"/>
  <c r="Y11" i="1"/>
  <c r="G10" i="2"/>
  <c r="Y19" i="1"/>
  <c r="N10"/>
  <c r="S10" s="1"/>
  <c r="W10"/>
  <c r="R10"/>
  <c r="M10"/>
  <c r="M92" s="1"/>
  <c r="J10"/>
  <c r="F23" i="2" l="1"/>
  <c r="G23" s="1"/>
  <c r="Y21" i="1"/>
  <c r="F20" i="2"/>
  <c r="G20" s="1"/>
  <c r="F29"/>
  <c r="G29" s="1"/>
  <c r="T23" i="1"/>
  <c r="Y24"/>
  <c r="X25"/>
  <c r="Y23"/>
  <c r="G22" i="2"/>
  <c r="O10" i="1"/>
  <c r="R92"/>
  <c r="W92"/>
  <c r="X10"/>
  <c r="F9" i="2" s="1"/>
  <c r="T10" i="1"/>
  <c r="J92"/>
  <c r="G24" i="2" l="1"/>
  <c r="F24"/>
  <c r="Y25" i="1"/>
  <c r="O92"/>
  <c r="T92"/>
  <c r="Y10"/>
  <c r="Y92" s="1"/>
  <c r="G9" i="2"/>
  <c r="G88" s="1"/>
</calcChain>
</file>

<file path=xl/sharedStrings.xml><?xml version="1.0" encoding="utf-8"?>
<sst xmlns="http://schemas.openxmlformats.org/spreadsheetml/2006/main" count="273" uniqueCount="169">
  <si>
    <t>No</t>
  </si>
  <si>
    <t>Sasaran Strategis</t>
  </si>
  <si>
    <t>Indikator Kinerja</t>
  </si>
  <si>
    <t>Target</t>
  </si>
  <si>
    <t>TRIWULAN I</t>
  </si>
  <si>
    <t>TRIWULAN II</t>
  </si>
  <si>
    <t>TRIWULAN III</t>
  </si>
  <si>
    <t>TRIWULAN IV</t>
  </si>
  <si>
    <t>Realisasi</t>
  </si>
  <si>
    <t>RENCANA AKSI KIERJA</t>
  </si>
  <si>
    <t>Rata-rata capaian</t>
  </si>
  <si>
    <t>Rata-rata capaian TW I</t>
  </si>
  <si>
    <t>Rata-rata capaian TW II</t>
  </si>
  <si>
    <t>Rata-rata capaian TW III</t>
  </si>
  <si>
    <t>Akumulasi</t>
  </si>
  <si>
    <t>Capaian akumulasi (%)</t>
  </si>
  <si>
    <t>%</t>
  </si>
  <si>
    <t>Satuan</t>
  </si>
  <si>
    <t>Capaian             (%)</t>
  </si>
  <si>
    <t>`</t>
  </si>
  <si>
    <t>Target R.Aksi</t>
  </si>
  <si>
    <t xml:space="preserve">MONITORING DAN EVALUASI </t>
  </si>
  <si>
    <t>7=(6:5 x 100%)</t>
  </si>
  <si>
    <t>10 = (7:4)</t>
  </si>
  <si>
    <t>13 = (12:11)</t>
  </si>
  <si>
    <t>14 = (12+9)</t>
  </si>
  <si>
    <t>18 =(17:16)</t>
  </si>
  <si>
    <t>19 = (17+12)</t>
  </si>
  <si>
    <t>23=(22:21)</t>
  </si>
  <si>
    <t>24=(19+22)</t>
  </si>
  <si>
    <t>KABUPATEN SIDENRENG RAPPANG</t>
  </si>
  <si>
    <t>Meningkatnya produksi dan produktivitas pertanian tahaman pangan, palawija, holtikultura dan perkebunan</t>
  </si>
  <si>
    <t>Ton</t>
  </si>
  <si>
    <t>Meningkatnya produksi peternakan  dan perikanan</t>
  </si>
  <si>
    <t>Kg</t>
  </si>
  <si>
    <t>Terciptanya keterpaduan usaha tani dari hulu ke hilir</t>
  </si>
  <si>
    <t>Panjang jalan tani terbangun</t>
  </si>
  <si>
    <t>meter</t>
  </si>
  <si>
    <t>Ha</t>
  </si>
  <si>
    <t>Unit</t>
  </si>
  <si>
    <t>Cakupan koordinasi perumusan kebijakan lingkungan hidup</t>
  </si>
  <si>
    <t>PEMERINTAH KABUPATEN SIDENRENG RAPPANG</t>
  </si>
  <si>
    <t>Meningkatnya pelayanan Rumah Sakit</t>
  </si>
  <si>
    <t>Persentase kepuasan pasien</t>
  </si>
  <si>
    <t>Persentase pasien rawat inap :</t>
  </si>
  <si>
    <t>* BOR</t>
  </si>
  <si>
    <t>* Av LOS</t>
  </si>
  <si>
    <t>* BTO</t>
  </si>
  <si>
    <t>* TOI</t>
  </si>
  <si>
    <t>* NDR</t>
  </si>
  <si>
    <t>* GDR</t>
  </si>
  <si>
    <t>Jumlah kunjungan RJTL</t>
  </si>
  <si>
    <t>Persentase tenaga yang mendapat pelatihan minimal 20 jam (SPM RS)</t>
  </si>
  <si>
    <t>pasien</t>
  </si>
  <si>
    <t>Jumlah Kunjungan Pasien Rawat Jalan</t>
  </si>
  <si>
    <t>Pelayanan kesehatan dasar dan pengembangan puskesmas</t>
  </si>
  <si>
    <t>Pemantauan Status Gizi</t>
  </si>
  <si>
    <t>org</t>
  </si>
  <si>
    <t>Proporsi panjang jaringan jalan dalam kondisi baik</t>
  </si>
  <si>
    <t>Terbangunnya Talud untuk memperkuat Infrastruktur jalan</t>
  </si>
  <si>
    <t>Meningkatnya ketersediaan infrastruktur permukiman, sanitasi dan air bersih yang berkualitas</t>
  </si>
  <si>
    <t>Rasio jaringan irigasi</t>
  </si>
  <si>
    <t>Cakupan luas layanan areal irigasi yang dialiri</t>
  </si>
  <si>
    <r>
      <t xml:space="preserve">an. </t>
    </r>
    <r>
      <rPr>
        <b/>
        <sz val="11"/>
        <color theme="1"/>
        <rFont val="Arial"/>
        <family val="2"/>
      </rPr>
      <t>BUPATI SIDENRENG RAPPANG</t>
    </r>
  </si>
  <si>
    <t>Sekretaris Daerah Kabupaten,</t>
  </si>
  <si>
    <t>an. BUPATI SIDENRENG RAPPANG</t>
  </si>
  <si>
    <t>SUDIRMAN BUNGI, S.IP, M.Si</t>
  </si>
  <si>
    <t>Pangkat : Pembina Utama Muda</t>
  </si>
  <si>
    <t>Nip. 19700827 199009 1 002</t>
  </si>
  <si>
    <t>RENCANA AKSI KINERJA</t>
  </si>
  <si>
    <t>Produksi Padi</t>
  </si>
  <si>
    <t>Produksi Jagung</t>
  </si>
  <si>
    <t>Produksi Cabe</t>
  </si>
  <si>
    <t>Produksi Kakao</t>
  </si>
  <si>
    <t>Produksi Jambu mete</t>
  </si>
  <si>
    <t>Produksi Cengkeh</t>
  </si>
  <si>
    <t>Produksi Lada</t>
  </si>
  <si>
    <t>-</t>
  </si>
  <si>
    <t>Sapi</t>
  </si>
  <si>
    <t>Kerbau</t>
  </si>
  <si>
    <t>Kuda</t>
  </si>
  <si>
    <t>Kambing</t>
  </si>
  <si>
    <t>Ayam Ras Pedaging</t>
  </si>
  <si>
    <t>Ayam Buras</t>
  </si>
  <si>
    <t>Ayam Ras Petelur</t>
  </si>
  <si>
    <t>Itik</t>
  </si>
  <si>
    <t>Daging Sapi</t>
  </si>
  <si>
    <t>Telur</t>
  </si>
  <si>
    <t>Perikanan Budidaya</t>
  </si>
  <si>
    <t>Perikanan Tangkap</t>
  </si>
  <si>
    <t>Ekor</t>
  </si>
  <si>
    <t>Terciptanya keterpaduan usaha tani antar sub sektor pertanian dan perkebunan, peternakan dan perikanan</t>
  </si>
  <si>
    <t>Sarana dan Prasarana Penyuluh Perikanan</t>
  </si>
  <si>
    <t>paket</t>
  </si>
  <si>
    <t>Meningkatnya Penerapan Teknologi Pertanian Mutakhir</t>
  </si>
  <si>
    <t>Peningkatan pengetahuan dan keterampilan bagi kelompok tani dan gapoktan.</t>
  </si>
  <si>
    <t>klp</t>
  </si>
  <si>
    <t>Meningkatnya Kualitas Manajemen  usaha tani</t>
  </si>
  <si>
    <t>Jumlah Penyuluh yang ikut pelatihan dasar dan Pelatihan tekhnis (Orang)</t>
  </si>
  <si>
    <t>Jumlah Kelompok yang dibina (Klp)</t>
  </si>
  <si>
    <t>Terkendalinya laju degradasi atau penurunan tingkat kesuburan lahan</t>
  </si>
  <si>
    <t xml:space="preserve">Persentase Koordinasi dan rumusan kebijakan sumber daya alam </t>
  </si>
  <si>
    <t>Meningkatnya Kelestarian Sumber Daya Air</t>
  </si>
  <si>
    <t>Tersedianya Sumber Air Permukaan dan Air tanah dalam untuk kebutuhan pada Lahan sawah tadah hujan dan Perekebunan</t>
  </si>
  <si>
    <t>unit</t>
  </si>
  <si>
    <t>Berkembang nya Produk Pertanian Organik</t>
  </si>
  <si>
    <t>Meningkatnya nilai produksi masing-masing sector perekonomian</t>
  </si>
  <si>
    <t>Meningkatnya sharing sector industry pengolahan jasa dalam struktur PDRB</t>
  </si>
  <si>
    <t>Terwujudnya daya saing tenaga kerja pada bidang yang mendukung produksi pertanian,  industri pengolahan dan jasa</t>
  </si>
  <si>
    <t>Rumah Sakit lulus akreditasi</t>
  </si>
  <si>
    <t>Jumlah kjngan RITL</t>
  </si>
  <si>
    <t>Terakreditasi</t>
  </si>
  <si>
    <t>Hari</t>
  </si>
  <si>
    <t>Kali</t>
  </si>
  <si>
    <t>Pasien</t>
  </si>
  <si>
    <t>6-9 hari</t>
  </si>
  <si>
    <t>40-50</t>
  </si>
  <si>
    <t>1-3 hari</t>
  </si>
  <si>
    <t xml:space="preserve">Meningkatnya kualitas penanganan penyakit dan jaminan kesehatan masyarakat </t>
  </si>
  <si>
    <t>Cakupan balita gizi buruk yang mendapatkan perawatan</t>
  </si>
  <si>
    <t>kasus</t>
  </si>
  <si>
    <t>Meningkatnya pola hidup sehat, keberdayaan masyarakat dalam masalah kesehatan dan kesling</t>
  </si>
  <si>
    <t>Persentase penduduk yang menggunakan air minum layak dan berkelanjutan</t>
  </si>
  <si>
    <t>Persentase terjaminnya keamanan makanan</t>
  </si>
  <si>
    <t>Berkembang nya Pendidikan Tinggi</t>
  </si>
  <si>
    <t>Ketersediaan Sarana dan Prasarana Perkuliahan yang berkwalitas dan memadai serta kwalifikasi/kwalitas tenaga pendidik (Dosen) dan kependidikan yang berkompetensi</t>
  </si>
  <si>
    <t>Meningkatnya akses dan mutu penyelenggaraan wajib belajar 12 tahun</t>
  </si>
  <si>
    <t>Guru berkualifikasi S1/D.IV di semua jenjang pendidikan</t>
  </si>
  <si>
    <t>Guru bersertifikasi di semua jenjang pendidikan</t>
  </si>
  <si>
    <t>Meningkatnya kualitas pelaksanaan nilai-nilai ajaran agama dalam masyarakat</t>
  </si>
  <si>
    <t>Persentase Kesejahteraan Imam, Petugas Syara, Guru TPA, Muballigh,Tassbeh dan KIPRA</t>
  </si>
  <si>
    <t>Meningkatnya kapasitas dan kualitas daya dukung jalan dan    jembatan terhadap wilayah  sentra produksi pertanian  dan kawasan  cepat tumbuh</t>
  </si>
  <si>
    <t>Terlaksanya pembangunan  Drainase/ Gorong- Gorong</t>
  </si>
  <si>
    <t>Terpeliharanya  Jalan Dan Jembatan</t>
  </si>
  <si>
    <t>Terbangunnya Infrastruktur Jalan di wilayah Strategis Khususnya di Perdesaan</t>
  </si>
  <si>
    <t xml:space="preserve">Jumlah Dokumen Perencanaan </t>
  </si>
  <si>
    <t>Persentase Rumah Tangga bersanitasi</t>
  </si>
  <si>
    <t>Ratio rumah layak huni yang dibangun</t>
  </si>
  <si>
    <t>Cakupan Layanan Air Minum Perdesaan</t>
  </si>
  <si>
    <t>Luas Kawasan Kumuh Perkotaan</t>
  </si>
  <si>
    <t>Meningkatnya nilai asset Pemerintah Daerah</t>
  </si>
  <si>
    <t>Dokumen</t>
  </si>
  <si>
    <t>Lokasi</t>
  </si>
  <si>
    <t>Meningkatnya pengendalian pencemaran pada media air, tanah, dan udara</t>
  </si>
  <si>
    <t>Tersedianya sarana dan prasarana pengelolaan persampahan</t>
  </si>
  <si>
    <t>Terpenuhinya Ruang terbuka hijau yang teduh, sejuk dan indah</t>
  </si>
  <si>
    <t>Sungai/ Danau</t>
  </si>
  <si>
    <t>Meningkatnya kualitas dan cakupan layanan daerah irigasi serta pemanfaatan air tanah</t>
  </si>
  <si>
    <t>Jumlah Daerah Irigasi</t>
  </si>
  <si>
    <t>Luas  irigasi  kabupaten  dalam  kondisi Baik</t>
  </si>
  <si>
    <t>Cakupan areal      terdampak yang tertangani</t>
  </si>
  <si>
    <t>Jml DI</t>
  </si>
  <si>
    <t>Jumlah tenaga kerja pada lembaga ketenagakerjaan yang mendapat perlindungan hukum</t>
  </si>
  <si>
    <t>RENCANA AKSI KINERJA TAHUN 2018</t>
  </si>
  <si>
    <t>HASIL PENGUKURAN KINERJA TAHUN 2018</t>
  </si>
  <si>
    <t>kegiatan</t>
  </si>
  <si>
    <t>Terlaksananya pengawasan peredaran barang dan jasa serta pelaksanaan tera/tera ulang alat UTTP</t>
  </si>
  <si>
    <t>pelaku usaha</t>
  </si>
  <si>
    <t xml:space="preserve">Cakupan bina kelompok IKM  </t>
  </si>
  <si>
    <t>Cakupan jumlah IKM aktif dan produktif</t>
  </si>
  <si>
    <t>Cakupan jumlah IKM baru</t>
  </si>
  <si>
    <t>Kostribusi sector industri terhadap PDRB</t>
  </si>
  <si>
    <t>Pertumbuhan Industri</t>
  </si>
  <si>
    <t>Cakupan Peningkatan kajian pelaku industri</t>
  </si>
  <si>
    <t>IKM</t>
  </si>
  <si>
    <t>Jumlah Tenaga Kerja yang mendapatkan pelatihan kerja</t>
  </si>
  <si>
    <t>Cakupan SPM Kesehatan</t>
  </si>
  <si>
    <t>Meningkatnya kualitas pelayanan kesehatan Ibu, Anak dan Gizi</t>
  </si>
  <si>
    <t>Pangkajene Sidenreng, 25 Maret 2019</t>
  </si>
</sst>
</file>

<file path=xl/styles.xml><?xml version="1.0" encoding="utf-8"?>
<styleSheet xmlns="http://schemas.openxmlformats.org/spreadsheetml/2006/main">
  <numFmts count="10">
    <numFmt numFmtId="41" formatCode="_(* #,##0_);_(* \(#,##0\);_(* &quot;-&quot;_);_(@_)"/>
    <numFmt numFmtId="43" formatCode="_(* #,##0.00_);_(* \(#,##0.00\);_(* &quot;-&quot;??_);_(@_)"/>
    <numFmt numFmtId="164" formatCode="_([$Rp-421]* #,##0_);_([$Rp-421]* \(#,##0\);_([$Rp-421]* &quot;-&quot;??_);_(@_)"/>
    <numFmt numFmtId="165" formatCode="_(* #,##0_);_(* \(#,##0\);_(* &quot;-&quot;??_);_(@_)"/>
    <numFmt numFmtId="166" formatCode="_(* #,##0.00_);_(* \(#,##0.00\);_(* &quot;-&quot;_);_(@_)"/>
    <numFmt numFmtId="167" formatCode="0.0%"/>
    <numFmt numFmtId="168" formatCode="_(* #,##0.0_);_(* \(#,##0.0\);_(* &quot;-&quot;_);_(@_)"/>
    <numFmt numFmtId="169" formatCode="_(* #,##0.000_);_(* \(#,##0.000\);_(* &quot;-&quot;??_);_(@_)"/>
    <numFmt numFmtId="170" formatCode="0.0000%"/>
    <numFmt numFmtId="171" formatCode="0.0"/>
  </numFmts>
  <fonts count="27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i/>
      <sz val="12"/>
      <color theme="1"/>
      <name val="Arial"/>
      <family val="2"/>
    </font>
    <font>
      <sz val="12"/>
      <color rgb="FF000000"/>
      <name val="Arial"/>
      <family val="2"/>
    </font>
    <font>
      <sz val="9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b/>
      <u/>
      <sz val="12"/>
      <color rgb="FFFF0000"/>
      <name val="Arial"/>
      <family val="2"/>
    </font>
    <font>
      <sz val="12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73">
    <xf numFmtId="0" fontId="0" fillId="0" borderId="0" xfId="0"/>
    <xf numFmtId="0" fontId="4" fillId="0" borderId="0" xfId="0" applyFont="1" applyAlignment="1"/>
    <xf numFmtId="0" fontId="5" fillId="0" borderId="0" xfId="0" applyFont="1"/>
    <xf numFmtId="0" fontId="6" fillId="7" borderId="1" xfId="0" applyFont="1" applyFill="1" applyBorder="1" applyAlignment="1">
      <alignment horizontal="centerContinuous" vertical="top"/>
    </xf>
    <xf numFmtId="0" fontId="4" fillId="0" borderId="0" xfId="0" applyFont="1" applyAlignment="1">
      <alignment horizontal="center"/>
    </xf>
    <xf numFmtId="0" fontId="7" fillId="4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 wrapText="1"/>
    </xf>
    <xf numFmtId="0" fontId="7" fillId="6" borderId="1" xfId="0" applyFont="1" applyFill="1" applyBorder="1" applyAlignment="1">
      <alignment horizontal="center" vertical="top" wrapText="1"/>
    </xf>
    <xf numFmtId="0" fontId="8" fillId="0" borderId="0" xfId="0" applyFont="1"/>
    <xf numFmtId="0" fontId="5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top"/>
    </xf>
    <xf numFmtId="10" fontId="6" fillId="8" borderId="1" xfId="2" applyNumberFormat="1" applyFont="1" applyFill="1" applyBorder="1" applyAlignment="1">
      <alignment horizontal="center" vertical="top"/>
    </xf>
    <xf numFmtId="9" fontId="9" fillId="0" borderId="1" xfId="2" applyNumberFormat="1" applyFont="1" applyBorder="1" applyAlignment="1">
      <alignment horizontal="center" vertical="top"/>
    </xf>
    <xf numFmtId="41" fontId="9" fillId="0" borderId="1" xfId="1" applyFont="1" applyBorder="1" applyAlignment="1">
      <alignment horizontal="center" vertical="top"/>
    </xf>
    <xf numFmtId="9" fontId="9" fillId="0" borderId="1" xfId="0" applyNumberFormat="1" applyFont="1" applyBorder="1" applyAlignment="1">
      <alignment horizontal="center" vertical="top" wrapText="1"/>
    </xf>
    <xf numFmtId="9" fontId="6" fillId="8" borderId="1" xfId="0" applyNumberFormat="1" applyFont="1" applyFill="1" applyBorder="1" applyAlignment="1">
      <alignment horizontal="center" vertical="center" wrapText="1"/>
    </xf>
    <xf numFmtId="9" fontId="9" fillId="8" borderId="3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top"/>
    </xf>
    <xf numFmtId="0" fontId="10" fillId="4" borderId="1" xfId="0" applyFont="1" applyFill="1" applyBorder="1" applyAlignment="1">
      <alignment horizontal="center" vertical="top"/>
    </xf>
    <xf numFmtId="0" fontId="10" fillId="5" borderId="1" xfId="0" applyFont="1" applyFill="1" applyBorder="1" applyAlignment="1">
      <alignment horizontal="center" vertical="top"/>
    </xf>
    <xf numFmtId="0" fontId="10" fillId="6" borderId="1" xfId="0" applyFont="1" applyFill="1" applyBorder="1" applyAlignment="1">
      <alignment horizontal="center" vertical="top"/>
    </xf>
    <xf numFmtId="0" fontId="10" fillId="6" borderId="1" xfId="0" applyFont="1" applyFill="1" applyBorder="1" applyAlignment="1">
      <alignment horizontal="center" vertical="top" wrapText="1"/>
    </xf>
    <xf numFmtId="41" fontId="9" fillId="0" borderId="1" xfId="0" applyNumberFormat="1" applyFont="1" applyBorder="1" applyAlignment="1">
      <alignment horizontal="center" vertical="top"/>
    </xf>
    <xf numFmtId="9" fontId="9" fillId="8" borderId="3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top" wrapText="1"/>
    </xf>
    <xf numFmtId="9" fontId="12" fillId="0" borderId="1" xfId="2" applyNumberFormat="1" applyFont="1" applyBorder="1" applyAlignment="1">
      <alignment horizontal="center" vertical="top"/>
    </xf>
    <xf numFmtId="10" fontId="13" fillId="8" borderId="1" xfId="2" applyNumberFormat="1" applyFont="1" applyFill="1" applyBorder="1" applyAlignment="1">
      <alignment horizontal="center" vertical="top"/>
    </xf>
    <xf numFmtId="41" fontId="12" fillId="0" borderId="1" xfId="1" applyFont="1" applyBorder="1" applyAlignment="1">
      <alignment horizontal="center" vertical="top"/>
    </xf>
    <xf numFmtId="41" fontId="12" fillId="0" borderId="1" xfId="0" applyNumberFormat="1" applyFont="1" applyBorder="1" applyAlignment="1">
      <alignment horizontal="center" vertical="top"/>
    </xf>
    <xf numFmtId="9" fontId="11" fillId="0" borderId="3" xfId="2" applyFont="1" applyBorder="1" applyAlignment="1">
      <alignment horizontal="center" vertical="top"/>
    </xf>
    <xf numFmtId="165" fontId="12" fillId="0" borderId="1" xfId="6" applyNumberFormat="1" applyFont="1" applyBorder="1" applyAlignment="1">
      <alignment horizontal="center" vertical="top"/>
    </xf>
    <xf numFmtId="43" fontId="12" fillId="0" borderId="1" xfId="6" applyNumberFormat="1" applyFont="1" applyBorder="1" applyAlignment="1">
      <alignment horizontal="center" vertical="top"/>
    </xf>
    <xf numFmtId="166" fontId="12" fillId="0" borderId="1" xfId="0" applyNumberFormat="1" applyFont="1" applyBorder="1" applyAlignment="1">
      <alignment horizontal="center" vertical="top"/>
    </xf>
    <xf numFmtId="166" fontId="12" fillId="0" borderId="1" xfId="1" applyNumberFormat="1" applyFont="1" applyBorder="1" applyAlignment="1">
      <alignment horizontal="center" vertical="top"/>
    </xf>
    <xf numFmtId="41" fontId="12" fillId="0" borderId="1" xfId="1" applyNumberFormat="1" applyFont="1" applyBorder="1" applyAlignment="1">
      <alignment horizontal="center" vertical="top"/>
    </xf>
    <xf numFmtId="167" fontId="13" fillId="8" borderId="1" xfId="2" applyNumberFormat="1" applyFont="1" applyFill="1" applyBorder="1" applyAlignment="1">
      <alignment horizontal="center" vertical="top"/>
    </xf>
    <xf numFmtId="0" fontId="5" fillId="0" borderId="0" xfId="0" applyFont="1" applyBorder="1" applyAlignment="1">
      <alignment vertical="top" wrapText="1"/>
    </xf>
    <xf numFmtId="0" fontId="14" fillId="0" borderId="1" xfId="4" applyFont="1" applyBorder="1" applyAlignment="1">
      <alignment vertical="top" wrapText="1"/>
    </xf>
    <xf numFmtId="0" fontId="11" fillId="0" borderId="7" xfId="0" applyFont="1" applyBorder="1" applyAlignment="1">
      <alignment vertical="top" wrapText="1"/>
    </xf>
    <xf numFmtId="0" fontId="11" fillId="0" borderId="6" xfId="0" applyFont="1" applyBorder="1" applyAlignment="1">
      <alignment horizontal="left" vertical="top" wrapText="1"/>
    </xf>
    <xf numFmtId="0" fontId="11" fillId="0" borderId="0" xfId="0" applyFont="1"/>
    <xf numFmtId="3" fontId="11" fillId="0" borderId="3" xfId="0" applyNumberFormat="1" applyFont="1" applyBorder="1" applyAlignment="1">
      <alignment horizontal="right" vertical="top" wrapText="1"/>
    </xf>
    <xf numFmtId="0" fontId="11" fillId="0" borderId="1" xfId="0" applyFont="1" applyBorder="1" applyAlignment="1">
      <alignment vertical="top" wrapText="1"/>
    </xf>
    <xf numFmtId="0" fontId="14" fillId="0" borderId="3" xfId="4" applyFont="1" applyBorder="1" applyAlignment="1">
      <alignment vertical="top" wrapText="1"/>
    </xf>
    <xf numFmtId="0" fontId="14" fillId="0" borderId="5" xfId="4" applyFont="1" applyBorder="1" applyAlignment="1">
      <alignment vertical="top" wrapText="1"/>
    </xf>
    <xf numFmtId="0" fontId="11" fillId="0" borderId="10" xfId="0" applyFont="1" applyBorder="1" applyAlignment="1">
      <alignment horizontal="center" vertical="top"/>
    </xf>
    <xf numFmtId="0" fontId="11" fillId="0" borderId="2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/>
    </xf>
    <xf numFmtId="0" fontId="11" fillId="0" borderId="11" xfId="0" applyFont="1" applyBorder="1" applyAlignment="1">
      <alignment horizontal="center" vertical="top"/>
    </xf>
    <xf numFmtId="0" fontId="14" fillId="0" borderId="11" xfId="4" applyFont="1" applyBorder="1" applyAlignment="1">
      <alignment vertical="top" wrapText="1"/>
    </xf>
    <xf numFmtId="0" fontId="11" fillId="0" borderId="13" xfId="0" applyFont="1" applyBorder="1" applyAlignment="1">
      <alignment horizontal="center" vertical="top"/>
    </xf>
    <xf numFmtId="0" fontId="11" fillId="0" borderId="5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165" fontId="11" fillId="0" borderId="8" xfId="6" applyNumberFormat="1" applyFont="1" applyBorder="1" applyAlignment="1">
      <alignment vertical="top" wrapText="1"/>
    </xf>
    <xf numFmtId="168" fontId="12" fillId="0" borderId="1" xfId="1" applyNumberFormat="1" applyFont="1" applyBorder="1" applyAlignment="1">
      <alignment horizontal="center" vertical="top"/>
    </xf>
    <xf numFmtId="0" fontId="14" fillId="0" borderId="7" xfId="4" applyFont="1" applyBorder="1" applyAlignment="1">
      <alignment vertical="top" wrapText="1"/>
    </xf>
    <xf numFmtId="0" fontId="4" fillId="0" borderId="0" xfId="0" applyFont="1" applyAlignment="1">
      <alignment horizontal="center"/>
    </xf>
    <xf numFmtId="0" fontId="14" fillId="0" borderId="10" xfId="4" applyFont="1" applyBorder="1" applyAlignment="1">
      <alignment vertical="top" wrapText="1"/>
    </xf>
    <xf numFmtId="0" fontId="11" fillId="0" borderId="0" xfId="0" applyFont="1" applyAlignment="1">
      <alignment vertical="top"/>
    </xf>
    <xf numFmtId="0" fontId="11" fillId="0" borderId="5" xfId="0" applyFont="1" applyBorder="1" applyAlignment="1">
      <alignment horizontal="center" vertical="top"/>
    </xf>
    <xf numFmtId="0" fontId="11" fillId="0" borderId="7" xfId="0" applyFont="1" applyBorder="1" applyAlignment="1">
      <alignment horizontal="center" vertical="top"/>
    </xf>
    <xf numFmtId="0" fontId="11" fillId="0" borderId="9" xfId="0" applyFont="1" applyBorder="1" applyAlignment="1">
      <alignment horizontal="center" vertical="top"/>
    </xf>
    <xf numFmtId="0" fontId="11" fillId="0" borderId="0" xfId="0" applyFont="1" applyAlignment="1"/>
    <xf numFmtId="0" fontId="11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0" fontId="11" fillId="0" borderId="1" xfId="0" applyFont="1" applyBorder="1" applyAlignment="1">
      <alignment vertical="top"/>
    </xf>
    <xf numFmtId="0" fontId="14" fillId="0" borderId="9" xfId="4" applyFont="1" applyBorder="1" applyAlignment="1">
      <alignment vertical="top" wrapText="1"/>
    </xf>
    <xf numFmtId="3" fontId="11" fillId="0" borderId="1" xfId="0" applyNumberFormat="1" applyFont="1" applyBorder="1" applyAlignment="1">
      <alignment horizontal="right" vertical="top" wrapText="1"/>
    </xf>
    <xf numFmtId="0" fontId="11" fillId="0" borderId="1" xfId="0" applyFont="1" applyBorder="1" applyAlignment="1">
      <alignment horizontal="right" vertical="top" wrapText="1"/>
    </xf>
    <xf numFmtId="0" fontId="12" fillId="0" borderId="1" xfId="0" applyFont="1" applyBorder="1" applyAlignment="1">
      <alignment vertical="top"/>
    </xf>
    <xf numFmtId="0" fontId="11" fillId="0" borderId="1" xfId="0" applyFont="1" applyBorder="1"/>
    <xf numFmtId="165" fontId="12" fillId="0" borderId="3" xfId="6" applyNumberFormat="1" applyFont="1" applyBorder="1" applyAlignment="1">
      <alignment horizontal="center" vertical="top"/>
    </xf>
    <xf numFmtId="9" fontId="11" fillId="0" borderId="8" xfId="2" applyFont="1" applyBorder="1" applyAlignment="1">
      <alignment horizontal="center" vertical="top"/>
    </xf>
    <xf numFmtId="9" fontId="11" fillId="0" borderId="12" xfId="2" applyFont="1" applyBorder="1" applyAlignment="1">
      <alignment horizontal="center" vertical="top"/>
    </xf>
    <xf numFmtId="0" fontId="12" fillId="0" borderId="3" xfId="0" applyFont="1" applyBorder="1" applyAlignment="1">
      <alignment horizontal="center" vertical="top"/>
    </xf>
    <xf numFmtId="0" fontId="12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wrapText="1"/>
    </xf>
    <xf numFmtId="43" fontId="14" fillId="0" borderId="7" xfId="5" applyFont="1" applyBorder="1" applyAlignment="1">
      <alignment horizontal="left" vertical="top" wrapText="1"/>
    </xf>
    <xf numFmtId="3" fontId="11" fillId="0" borderId="12" xfId="0" applyNumberFormat="1" applyFont="1" applyBorder="1" applyAlignment="1">
      <alignment horizontal="center" vertical="top"/>
    </xf>
    <xf numFmtId="9" fontId="18" fillId="0" borderId="3" xfId="2" applyFont="1" applyBorder="1" applyAlignment="1">
      <alignment horizontal="center" vertical="top"/>
    </xf>
    <xf numFmtId="3" fontId="19" fillId="0" borderId="1" xfId="0" applyNumberFormat="1" applyFont="1" applyBorder="1" applyAlignment="1">
      <alignment horizontal="right" vertical="top" wrapText="1"/>
    </xf>
    <xf numFmtId="0" fontId="19" fillId="0" borderId="11" xfId="0" applyFont="1" applyBorder="1" applyAlignment="1">
      <alignment horizontal="center" vertical="top"/>
    </xf>
    <xf numFmtId="0" fontId="19" fillId="0" borderId="12" xfId="0" applyFont="1" applyBorder="1" applyAlignment="1">
      <alignment vertical="top" wrapText="1"/>
    </xf>
    <xf numFmtId="0" fontId="19" fillId="0" borderId="9" xfId="0" applyFont="1" applyBorder="1" applyAlignment="1">
      <alignment vertical="top" wrapText="1"/>
    </xf>
    <xf numFmtId="0" fontId="19" fillId="0" borderId="0" xfId="0" applyFont="1" applyBorder="1" applyAlignment="1">
      <alignment horizontal="center" vertical="top"/>
    </xf>
    <xf numFmtId="0" fontId="19" fillId="0" borderId="0" xfId="0" applyFont="1" applyBorder="1"/>
    <xf numFmtId="0" fontId="19" fillId="0" borderId="0" xfId="0" applyFont="1" applyBorder="1" applyAlignment="1"/>
    <xf numFmtId="0" fontId="19" fillId="0" borderId="0" xfId="0" applyFont="1" applyBorder="1" applyAlignment="1">
      <alignment horizontal="right"/>
    </xf>
    <xf numFmtId="0" fontId="19" fillId="0" borderId="0" xfId="0" applyFont="1" applyAlignment="1">
      <alignment vertical="top"/>
    </xf>
    <xf numFmtId="0" fontId="20" fillId="0" borderId="0" xfId="0" applyFont="1" applyAlignment="1">
      <alignment horizontal="center" vertical="top" wrapText="1"/>
    </xf>
    <xf numFmtId="164" fontId="20" fillId="0" borderId="0" xfId="1" applyNumberFormat="1" applyFont="1" applyAlignment="1">
      <alignment horizontal="right" vertical="top"/>
    </xf>
    <xf numFmtId="0" fontId="19" fillId="0" borderId="0" xfId="0" applyFont="1"/>
    <xf numFmtId="0" fontId="19" fillId="0" borderId="0" xfId="0" applyFont="1" applyAlignment="1">
      <alignment horizontal="center" vertical="top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left" vertical="top" wrapText="1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vertical="top"/>
    </xf>
    <xf numFmtId="0" fontId="11" fillId="0" borderId="1" xfId="0" applyFont="1" applyBorder="1" applyAlignment="1">
      <alignment horizontal="justify" vertical="top"/>
    </xf>
    <xf numFmtId="0" fontId="12" fillId="0" borderId="1" xfId="0" applyFont="1" applyBorder="1" applyAlignment="1">
      <alignment vertical="top" wrapText="1"/>
    </xf>
    <xf numFmtId="0" fontId="11" fillId="0" borderId="2" xfId="0" applyFont="1" applyBorder="1" applyAlignment="1">
      <alignment vertical="top" wrapText="1"/>
    </xf>
    <xf numFmtId="3" fontId="11" fillId="0" borderId="8" xfId="0" applyNumberFormat="1" applyFont="1" applyBorder="1" applyAlignment="1">
      <alignment horizontal="right" vertical="top" wrapText="1"/>
    </xf>
    <xf numFmtId="165" fontId="12" fillId="0" borderId="5" xfId="6" applyNumberFormat="1" applyFont="1" applyBorder="1" applyAlignment="1">
      <alignment horizontal="center" vertical="top"/>
    </xf>
    <xf numFmtId="9" fontId="12" fillId="0" borderId="5" xfId="2" applyNumberFormat="1" applyFont="1" applyBorder="1" applyAlignment="1">
      <alignment horizontal="center" vertical="top"/>
    </xf>
    <xf numFmtId="10" fontId="13" fillId="8" borderId="5" xfId="2" applyNumberFormat="1" applyFont="1" applyFill="1" applyBorder="1" applyAlignment="1">
      <alignment horizontal="center" vertical="top"/>
    </xf>
    <xf numFmtId="41" fontId="12" fillId="0" borderId="5" xfId="1" applyNumberFormat="1" applyFont="1" applyBorder="1" applyAlignment="1">
      <alignment horizontal="center" vertical="top"/>
    </xf>
    <xf numFmtId="41" fontId="12" fillId="0" borderId="5" xfId="0" applyNumberFormat="1" applyFont="1" applyBorder="1" applyAlignment="1">
      <alignment horizontal="center" vertical="top"/>
    </xf>
    <xf numFmtId="165" fontId="12" fillId="0" borderId="11" xfId="6" applyNumberFormat="1" applyFont="1" applyBorder="1" applyAlignment="1">
      <alignment horizontal="center" vertical="top"/>
    </xf>
    <xf numFmtId="9" fontId="12" fillId="0" borderId="11" xfId="2" applyNumberFormat="1" applyFont="1" applyBorder="1" applyAlignment="1">
      <alignment horizontal="center" vertical="top"/>
    </xf>
    <xf numFmtId="10" fontId="13" fillId="8" borderId="11" xfId="2" applyNumberFormat="1" applyFont="1" applyFill="1" applyBorder="1" applyAlignment="1">
      <alignment horizontal="center" vertical="top"/>
    </xf>
    <xf numFmtId="41" fontId="12" fillId="0" borderId="11" xfId="1" applyNumberFormat="1" applyFont="1" applyBorder="1" applyAlignment="1">
      <alignment horizontal="center" vertical="top"/>
    </xf>
    <xf numFmtId="41" fontId="12" fillId="0" borderId="11" xfId="0" applyNumberFormat="1" applyFont="1" applyBorder="1" applyAlignment="1">
      <alignment horizontal="center" vertical="top"/>
    </xf>
    <xf numFmtId="165" fontId="12" fillId="0" borderId="8" xfId="6" applyNumberFormat="1" applyFont="1" applyBorder="1" applyAlignment="1">
      <alignment horizontal="center" vertical="top"/>
    </xf>
    <xf numFmtId="0" fontId="11" fillId="0" borderId="5" xfId="0" applyFont="1" applyBorder="1" applyAlignment="1">
      <alignment horizontal="justify" vertical="top" wrapText="1"/>
    </xf>
    <xf numFmtId="0" fontId="11" fillId="0" borderId="11" xfId="0" applyFont="1" applyBorder="1" applyAlignment="1">
      <alignment vertical="top" wrapText="1"/>
    </xf>
    <xf numFmtId="0" fontId="11" fillId="0" borderId="0" xfId="0" applyFont="1" applyAlignment="1">
      <alignment horizontal="left" vertical="top" wrapText="1"/>
    </xf>
    <xf numFmtId="43" fontId="12" fillId="0" borderId="8" xfId="6" applyNumberFormat="1" applyFont="1" applyBorder="1" applyAlignment="1">
      <alignment horizontal="center" vertical="top"/>
    </xf>
    <xf numFmtId="43" fontId="12" fillId="0" borderId="5" xfId="6" applyNumberFormat="1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 wrapText="1"/>
    </xf>
    <xf numFmtId="0" fontId="13" fillId="8" borderId="5" xfId="6" applyNumberFormat="1" applyFont="1" applyFill="1" applyBorder="1" applyAlignment="1">
      <alignment horizontal="center" vertical="top"/>
    </xf>
    <xf numFmtId="0" fontId="11" fillId="0" borderId="5" xfId="0" applyFont="1" applyBorder="1" applyAlignment="1">
      <alignment horizontal="right" vertical="top" wrapText="1"/>
    </xf>
    <xf numFmtId="0" fontId="11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right" vertical="top" wrapText="1"/>
    </xf>
    <xf numFmtId="0" fontId="14" fillId="0" borderId="10" xfId="0" applyFont="1" applyBorder="1" applyAlignment="1">
      <alignment horizontal="center" vertical="top"/>
    </xf>
    <xf numFmtId="0" fontId="22" fillId="0" borderId="7" xfId="0" applyFont="1" applyBorder="1" applyAlignment="1">
      <alignment vertical="top" wrapText="1"/>
    </xf>
    <xf numFmtId="165" fontId="14" fillId="0" borderId="3" xfId="6" applyNumberFormat="1" applyFont="1" applyBorder="1" applyAlignment="1">
      <alignment horizontal="center" vertical="top"/>
    </xf>
    <xf numFmtId="0" fontId="22" fillId="0" borderId="10" xfId="0" applyFont="1" applyBorder="1" applyAlignment="1">
      <alignment vertical="top" wrapText="1"/>
    </xf>
    <xf numFmtId="43" fontId="12" fillId="0" borderId="3" xfId="6" applyNumberFormat="1" applyFont="1" applyBorder="1" applyAlignment="1">
      <alignment horizontal="center" vertical="top"/>
    </xf>
    <xf numFmtId="0" fontId="11" fillId="0" borderId="2" xfId="0" applyFont="1" applyBorder="1" applyAlignment="1">
      <alignment horizontal="justify" vertical="top" wrapText="1"/>
    </xf>
    <xf numFmtId="165" fontId="14" fillId="0" borderId="12" xfId="6" applyNumberFormat="1" applyFont="1" applyBorder="1" applyAlignment="1">
      <alignment vertical="top"/>
    </xf>
    <xf numFmtId="165" fontId="11" fillId="0" borderId="1" xfId="6" applyNumberFormat="1" applyFont="1" applyBorder="1" applyAlignment="1">
      <alignment horizontal="center" vertical="top" wrapText="1"/>
    </xf>
    <xf numFmtId="0" fontId="14" fillId="0" borderId="2" xfId="0" applyFont="1" applyBorder="1" applyAlignment="1">
      <alignment horizontal="center" vertical="top"/>
    </xf>
    <xf numFmtId="0" fontId="14" fillId="0" borderId="13" xfId="0" applyFont="1" applyBorder="1" applyAlignment="1">
      <alignment horizontal="center" vertical="top"/>
    </xf>
    <xf numFmtId="0" fontId="14" fillId="0" borderId="9" xfId="0" applyFont="1" applyBorder="1" applyAlignment="1">
      <alignment horizontal="center" vertical="top"/>
    </xf>
    <xf numFmtId="0" fontId="11" fillId="0" borderId="13" xfId="0" applyFont="1" applyBorder="1" applyAlignment="1">
      <alignment horizontal="left" vertical="top" wrapText="1"/>
    </xf>
    <xf numFmtId="0" fontId="11" fillId="0" borderId="4" xfId="0" applyFont="1" applyBorder="1" applyAlignment="1">
      <alignment horizontal="left" vertical="top" wrapText="1"/>
    </xf>
    <xf numFmtId="0" fontId="11" fillId="0" borderId="9" xfId="0" applyFont="1" applyBorder="1" applyAlignment="1">
      <alignment vertical="top" wrapText="1"/>
    </xf>
    <xf numFmtId="0" fontId="11" fillId="0" borderId="3" xfId="0" applyFont="1" applyBorder="1" applyAlignment="1">
      <alignment vertical="top" wrapText="1"/>
    </xf>
    <xf numFmtId="2" fontId="11" fillId="0" borderId="1" xfId="0" applyNumberFormat="1" applyFont="1" applyBorder="1" applyAlignment="1">
      <alignment vertical="top" wrapText="1"/>
    </xf>
    <xf numFmtId="0" fontId="11" fillId="0" borderId="2" xfId="0" applyFont="1" applyBorder="1" applyAlignment="1">
      <alignment horizontal="left" vertical="top" wrapText="1"/>
    </xf>
    <xf numFmtId="0" fontId="11" fillId="0" borderId="8" xfId="0" applyFont="1" applyBorder="1" applyAlignment="1">
      <alignment horizontal="center" vertical="top" wrapText="1"/>
    </xf>
    <xf numFmtId="43" fontId="11" fillId="0" borderId="1" xfId="6" applyNumberFormat="1" applyFont="1" applyBorder="1" applyAlignment="1">
      <alignment horizontal="right" vertical="top" wrapText="1"/>
    </xf>
    <xf numFmtId="43" fontId="11" fillId="0" borderId="11" xfId="6" applyNumberFormat="1" applyFont="1" applyBorder="1" applyAlignment="1">
      <alignment horizontal="right" vertical="top" wrapText="1"/>
    </xf>
    <xf numFmtId="169" fontId="11" fillId="0" borderId="1" xfId="6" applyNumberFormat="1" applyFont="1" applyBorder="1" applyAlignment="1">
      <alignment horizontal="center" vertical="top" wrapText="1"/>
    </xf>
    <xf numFmtId="3" fontId="14" fillId="0" borderId="1" xfId="4" applyNumberFormat="1" applyFont="1" applyBorder="1" applyAlignment="1">
      <alignment vertical="top" wrapText="1"/>
    </xf>
    <xf numFmtId="0" fontId="11" fillId="0" borderId="2" xfId="0" applyFont="1" applyBorder="1" applyAlignment="1">
      <alignment horizontal="left" vertical="top"/>
    </xf>
    <xf numFmtId="3" fontId="14" fillId="0" borderId="1" xfId="4" applyNumberFormat="1" applyFont="1" applyBorder="1" applyAlignment="1">
      <alignment horizontal="center" vertical="top" wrapText="1"/>
    </xf>
    <xf numFmtId="9" fontId="11" fillId="0" borderId="1" xfId="2" applyFont="1" applyBorder="1" applyAlignment="1">
      <alignment horizontal="center" vertical="top"/>
    </xf>
    <xf numFmtId="0" fontId="11" fillId="0" borderId="0" xfId="0" applyFont="1" applyAlignment="1">
      <alignment horizontal="center" vertical="top" wrapText="1"/>
    </xf>
    <xf numFmtId="165" fontId="12" fillId="0" borderId="12" xfId="6" applyNumberFormat="1" applyFont="1" applyBorder="1" applyAlignment="1">
      <alignment horizontal="center" vertical="top"/>
    </xf>
    <xf numFmtId="4" fontId="11" fillId="0" borderId="5" xfId="0" applyNumberFormat="1" applyFont="1" applyBorder="1" applyAlignment="1">
      <alignment horizontal="right" vertical="top" wrapText="1"/>
    </xf>
    <xf numFmtId="166" fontId="12" fillId="0" borderId="5" xfId="1" applyNumberFormat="1" applyFont="1" applyBorder="1" applyAlignment="1">
      <alignment horizontal="center" vertical="top"/>
    </xf>
    <xf numFmtId="0" fontId="14" fillId="0" borderId="5" xfId="4" applyFont="1" applyBorder="1" applyAlignment="1">
      <alignment horizontal="center" vertical="top" wrapText="1"/>
    </xf>
    <xf numFmtId="43" fontId="14" fillId="0" borderId="5" xfId="4" applyNumberFormat="1" applyFont="1" applyBorder="1" applyAlignment="1">
      <alignment vertical="top" wrapText="1"/>
    </xf>
    <xf numFmtId="165" fontId="14" fillId="0" borderId="5" xfId="4" applyNumberFormat="1" applyFont="1" applyBorder="1" applyAlignment="1">
      <alignment vertical="top" wrapText="1"/>
    </xf>
    <xf numFmtId="43" fontId="14" fillId="0" borderId="5" xfId="6" applyFont="1" applyBorder="1" applyAlignment="1">
      <alignment vertical="top" wrapText="1"/>
    </xf>
    <xf numFmtId="165" fontId="14" fillId="0" borderId="5" xfId="6" applyNumberFormat="1" applyFont="1" applyBorder="1" applyAlignment="1">
      <alignment vertical="top" wrapText="1"/>
    </xf>
    <xf numFmtId="0" fontId="11" fillId="2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top"/>
    </xf>
    <xf numFmtId="0" fontId="12" fillId="4" borderId="1" xfId="0" applyFont="1" applyFill="1" applyBorder="1" applyAlignment="1">
      <alignment horizontal="center" vertical="top"/>
    </xf>
    <xf numFmtId="0" fontId="12" fillId="4" borderId="1" xfId="0" applyFont="1" applyFill="1" applyBorder="1" applyAlignment="1">
      <alignment horizontal="center" vertical="top" wrapText="1"/>
    </xf>
    <xf numFmtId="0" fontId="12" fillId="5" borderId="1" xfId="0" applyFont="1" applyFill="1" applyBorder="1" applyAlignment="1">
      <alignment horizontal="center" vertical="top"/>
    </xf>
    <xf numFmtId="0" fontId="12" fillId="5" borderId="1" xfId="0" applyFont="1" applyFill="1" applyBorder="1" applyAlignment="1">
      <alignment horizontal="center" vertical="top" wrapText="1"/>
    </xf>
    <xf numFmtId="0" fontId="12" fillId="6" borderId="1" xfId="0" applyFont="1" applyFill="1" applyBorder="1" applyAlignment="1">
      <alignment horizontal="center" vertical="top"/>
    </xf>
    <xf numFmtId="0" fontId="12" fillId="6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165" fontId="12" fillId="0" borderId="1" xfId="6" applyNumberFormat="1" applyFont="1" applyBorder="1" applyAlignment="1">
      <alignment horizontal="center" vertical="top" wrapText="1"/>
    </xf>
    <xf numFmtId="165" fontId="11" fillId="0" borderId="1" xfId="6" applyNumberFormat="1" applyFont="1" applyBorder="1" applyAlignment="1">
      <alignment vertical="top" wrapText="1"/>
    </xf>
    <xf numFmtId="165" fontId="11" fillId="0" borderId="1" xfId="6" applyNumberFormat="1" applyFont="1" applyBorder="1" applyAlignment="1">
      <alignment horizontal="left" vertical="top" wrapText="1"/>
    </xf>
    <xf numFmtId="0" fontId="11" fillId="0" borderId="5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11" fillId="0" borderId="11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center" vertical="top"/>
    </xf>
    <xf numFmtId="0" fontId="11" fillId="0" borderId="0" xfId="0" applyFont="1" applyBorder="1"/>
    <xf numFmtId="0" fontId="16" fillId="0" borderId="0" xfId="0" applyFont="1" applyAlignment="1">
      <alignment horizontal="center" vertical="top" wrapText="1"/>
    </xf>
    <xf numFmtId="164" fontId="16" fillId="0" borderId="0" xfId="1" applyNumberFormat="1" applyFont="1" applyAlignment="1">
      <alignment horizontal="right" vertical="top"/>
    </xf>
    <xf numFmtId="0" fontId="11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vertical="top"/>
    </xf>
    <xf numFmtId="165" fontId="14" fillId="0" borderId="1" xfId="6" applyNumberFormat="1" applyFont="1" applyBorder="1" applyAlignment="1">
      <alignment vertical="top" wrapText="1"/>
    </xf>
    <xf numFmtId="2" fontId="14" fillId="0" borderId="5" xfId="4" applyNumberFormat="1" applyFont="1" applyBorder="1" applyAlignment="1">
      <alignment vertical="top" wrapText="1"/>
    </xf>
    <xf numFmtId="0" fontId="14" fillId="0" borderId="7" xfId="4" applyFont="1" applyBorder="1" applyAlignment="1">
      <alignment horizontal="center" vertical="top" wrapText="1"/>
    </xf>
    <xf numFmtId="0" fontId="6" fillId="7" borderId="2" xfId="0" applyFont="1" applyFill="1" applyBorder="1" applyAlignment="1">
      <alignment horizontal="centerContinuous" vertical="top"/>
    </xf>
    <xf numFmtId="0" fontId="10" fillId="6" borderId="2" xfId="0" applyFont="1" applyFill="1" applyBorder="1" applyAlignment="1">
      <alignment horizontal="center" vertical="top"/>
    </xf>
    <xf numFmtId="0" fontId="0" fillId="0" borderId="10" xfId="0" applyBorder="1"/>
    <xf numFmtId="0" fontId="4" fillId="0" borderId="10" xfId="0" applyFont="1" applyBorder="1" applyAlignment="1">
      <alignment horizontal="center"/>
    </xf>
    <xf numFmtId="0" fontId="8" fillId="0" borderId="10" xfId="0" applyFont="1" applyBorder="1"/>
    <xf numFmtId="165" fontId="14" fillId="0" borderId="7" xfId="4" applyNumberFormat="1" applyFont="1" applyBorder="1" applyAlignment="1">
      <alignment vertical="top" wrapText="1"/>
    </xf>
    <xf numFmtId="9" fontId="11" fillId="0" borderId="3" xfId="2" applyNumberFormat="1" applyFont="1" applyBorder="1" applyAlignment="1">
      <alignment horizontal="center" vertical="top"/>
    </xf>
    <xf numFmtId="41" fontId="11" fillId="0" borderId="3" xfId="2" applyNumberFormat="1" applyFont="1" applyBorder="1" applyAlignment="1">
      <alignment horizontal="center" vertical="top"/>
    </xf>
    <xf numFmtId="0" fontId="11" fillId="0" borderId="6" xfId="0" applyFont="1" applyBorder="1" applyAlignment="1">
      <alignment vertical="top" wrapText="1"/>
    </xf>
    <xf numFmtId="0" fontId="11" fillId="0" borderId="0" xfId="0" applyFont="1" applyBorder="1" applyAlignment="1">
      <alignment vertical="top" wrapText="1"/>
    </xf>
    <xf numFmtId="9" fontId="13" fillId="8" borderId="1" xfId="2" applyNumberFormat="1" applyFont="1" applyFill="1" applyBorder="1" applyAlignment="1">
      <alignment horizontal="center" vertical="top"/>
    </xf>
    <xf numFmtId="9" fontId="13" fillId="8" borderId="5" xfId="2" applyNumberFormat="1" applyFont="1" applyFill="1" applyBorder="1" applyAlignment="1">
      <alignment horizontal="center" vertical="top"/>
    </xf>
    <xf numFmtId="9" fontId="13" fillId="8" borderId="11" xfId="2" applyNumberFormat="1" applyFont="1" applyFill="1" applyBorder="1" applyAlignment="1">
      <alignment horizontal="center" vertical="top"/>
    </xf>
    <xf numFmtId="170" fontId="13" fillId="8" borderId="1" xfId="2" applyNumberFormat="1" applyFont="1" applyFill="1" applyBorder="1" applyAlignment="1">
      <alignment horizontal="center" vertical="top"/>
    </xf>
    <xf numFmtId="0" fontId="11" fillId="0" borderId="1" xfId="0" applyFont="1" applyBorder="1" applyAlignment="1">
      <alignment horizontal="right" vertical="top"/>
    </xf>
    <xf numFmtId="0" fontId="11" fillId="0" borderId="3" xfId="0" applyFont="1" applyBorder="1" applyAlignment="1">
      <alignment horizontal="left" vertical="top"/>
    </xf>
    <xf numFmtId="9" fontId="13" fillId="8" borderId="1" xfId="0" applyNumberFormat="1" applyFont="1" applyFill="1" applyBorder="1" applyAlignment="1">
      <alignment horizontal="center" vertical="center" wrapText="1"/>
    </xf>
    <xf numFmtId="0" fontId="11" fillId="0" borderId="13" xfId="0" applyFont="1" applyBorder="1" applyAlignment="1">
      <alignment vertical="top" wrapText="1"/>
    </xf>
    <xf numFmtId="0" fontId="11" fillId="0" borderId="9" xfId="0" applyFont="1" applyBorder="1" applyAlignment="1">
      <alignment horizontal="justify" vertical="top" wrapText="1"/>
    </xf>
    <xf numFmtId="0" fontId="11" fillId="0" borderId="12" xfId="0" applyFont="1" applyBorder="1" applyAlignment="1">
      <alignment horizontal="center" vertical="top" wrapText="1"/>
    </xf>
    <xf numFmtId="169" fontId="11" fillId="0" borderId="11" xfId="6" applyNumberFormat="1" applyFont="1" applyBorder="1" applyAlignment="1">
      <alignment horizontal="center" vertical="top" wrapText="1"/>
    </xf>
    <xf numFmtId="166" fontId="12" fillId="0" borderId="11" xfId="1" applyNumberFormat="1" applyFont="1" applyBorder="1" applyAlignment="1">
      <alignment horizontal="center" vertical="top"/>
    </xf>
    <xf numFmtId="0" fontId="11" fillId="0" borderId="0" xfId="0" applyFont="1" applyAlignment="1">
      <alignment horizontal="center"/>
    </xf>
    <xf numFmtId="166" fontId="11" fillId="0" borderId="3" xfId="2" applyNumberFormat="1" applyFont="1" applyBorder="1" applyAlignment="1">
      <alignment horizontal="center" vertical="top"/>
    </xf>
    <xf numFmtId="41" fontId="14" fillId="0" borderId="1" xfId="1" applyFont="1" applyBorder="1" applyAlignment="1">
      <alignment vertical="top" wrapText="1"/>
    </xf>
    <xf numFmtId="166" fontId="14" fillId="0" borderId="1" xfId="1" applyNumberFormat="1" applyFont="1" applyBorder="1" applyAlignment="1">
      <alignment vertical="top" wrapText="1"/>
    </xf>
    <xf numFmtId="9" fontId="11" fillId="0" borderId="8" xfId="2" applyFont="1" applyBorder="1" applyAlignment="1">
      <alignment horizontal="center" vertical="top" wrapText="1"/>
    </xf>
    <xf numFmtId="41" fontId="11" fillId="0" borderId="1" xfId="1" applyFont="1" applyBorder="1" applyAlignment="1">
      <alignment horizontal="right" vertical="top" wrapText="1"/>
    </xf>
    <xf numFmtId="169" fontId="12" fillId="0" borderId="3" xfId="6" applyNumberFormat="1" applyFont="1" applyBorder="1" applyAlignment="1">
      <alignment horizontal="center" vertical="top"/>
    </xf>
    <xf numFmtId="169" fontId="12" fillId="0" borderId="1" xfId="6" applyNumberFormat="1" applyFont="1" applyBorder="1" applyAlignment="1">
      <alignment horizontal="center" vertical="top"/>
    </xf>
    <xf numFmtId="171" fontId="11" fillId="0" borderId="3" xfId="0" applyNumberFormat="1" applyFont="1" applyBorder="1" applyAlignment="1">
      <alignment vertical="top" wrapText="1"/>
    </xf>
    <xf numFmtId="0" fontId="11" fillId="0" borderId="10" xfId="0" applyFont="1" applyBorder="1" applyAlignment="1">
      <alignment vertical="top" wrapText="1"/>
    </xf>
    <xf numFmtId="1" fontId="14" fillId="0" borderId="5" xfId="4" applyNumberFormat="1" applyFont="1" applyBorder="1" applyAlignment="1">
      <alignment vertical="top" wrapText="1"/>
    </xf>
    <xf numFmtId="41" fontId="14" fillId="0" borderId="5" xfId="1" applyFont="1" applyBorder="1" applyAlignment="1">
      <alignment vertical="top" wrapText="1"/>
    </xf>
    <xf numFmtId="0" fontId="11" fillId="0" borderId="14" xfId="0" applyFont="1" applyBorder="1" applyAlignment="1"/>
    <xf numFmtId="0" fontId="11" fillId="0" borderId="14" xfId="0" applyFont="1" applyBorder="1" applyAlignment="1">
      <alignment horizontal="right"/>
    </xf>
    <xf numFmtId="0" fontId="11" fillId="0" borderId="14" xfId="0" applyFont="1" applyBorder="1"/>
    <xf numFmtId="41" fontId="11" fillId="0" borderId="3" xfId="1" applyFont="1" applyBorder="1" applyAlignment="1">
      <alignment horizontal="center" vertical="top"/>
    </xf>
    <xf numFmtId="9" fontId="11" fillId="0" borderId="5" xfId="2" applyFont="1" applyBorder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 applyAlignment="1">
      <alignment horizontal="left"/>
    </xf>
    <xf numFmtId="0" fontId="24" fillId="0" borderId="0" xfId="0" applyFont="1"/>
    <xf numFmtId="0" fontId="13" fillId="0" borderId="0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right" vertical="top"/>
    </xf>
    <xf numFmtId="0" fontId="11" fillId="0" borderId="0" xfId="0" applyFont="1" applyBorder="1" applyAlignment="1">
      <alignment horizontal="left" vertical="top"/>
    </xf>
    <xf numFmtId="41" fontId="12" fillId="0" borderId="0" xfId="1" applyFont="1" applyBorder="1" applyAlignment="1">
      <alignment horizontal="center" vertical="top"/>
    </xf>
    <xf numFmtId="9" fontId="13" fillId="8" borderId="0" xfId="0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top" wrapText="1"/>
    </xf>
    <xf numFmtId="0" fontId="11" fillId="0" borderId="7" xfId="0" applyFont="1" applyBorder="1" applyAlignment="1">
      <alignment horizontal="left" vertical="top" wrapText="1"/>
    </xf>
    <xf numFmtId="0" fontId="11" fillId="0" borderId="11" xfId="0" applyFont="1" applyBorder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0" fontId="14" fillId="0" borderId="5" xfId="4" applyFont="1" applyBorder="1" applyAlignment="1">
      <alignment horizontal="left" vertical="top" wrapText="1"/>
    </xf>
    <xf numFmtId="0" fontId="14" fillId="0" borderId="7" xfId="4" applyFont="1" applyBorder="1" applyAlignment="1">
      <alignment horizontal="left" vertical="top" wrapText="1"/>
    </xf>
    <xf numFmtId="0" fontId="11" fillId="0" borderId="0" xfId="0" applyFont="1" applyAlignment="1">
      <alignment horizontal="center" vertical="top"/>
    </xf>
    <xf numFmtId="0" fontId="17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/>
    </xf>
    <xf numFmtId="0" fontId="23" fillId="3" borderId="11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3" fillId="4" borderId="11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horizontal="center" vertical="center"/>
    </xf>
    <xf numFmtId="0" fontId="23" fillId="5" borderId="11" xfId="0" applyFont="1" applyFill="1" applyBorder="1" applyAlignment="1">
      <alignment horizontal="center" vertical="center"/>
    </xf>
    <xf numFmtId="0" fontId="23" fillId="6" borderId="13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top"/>
    </xf>
    <xf numFmtId="0" fontId="24" fillId="0" borderId="0" xfId="0" applyFont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26" fillId="0" borderId="0" xfId="0" applyFont="1" applyAlignment="1">
      <alignment horizontal="center" vertical="top"/>
    </xf>
    <xf numFmtId="0" fontId="13" fillId="0" borderId="4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7" fillId="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9" fontId="9" fillId="8" borderId="2" xfId="0" applyNumberFormat="1" applyFont="1" applyFill="1" applyBorder="1" applyAlignment="1">
      <alignment horizontal="center" vertical="center" wrapText="1"/>
    </xf>
    <xf numFmtId="9" fontId="9" fillId="8" borderId="3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6" fillId="0" borderId="0" xfId="0" applyFont="1" applyAlignment="1">
      <alignment horizontal="center" vertical="top"/>
    </xf>
    <xf numFmtId="0" fontId="6" fillId="6" borderId="2" xfId="0" applyFont="1" applyFill="1" applyBorder="1" applyAlignment="1">
      <alignment horizontal="center" vertical="top"/>
    </xf>
    <xf numFmtId="0" fontId="6" fillId="6" borderId="4" xfId="0" applyFont="1" applyFill="1" applyBorder="1" applyAlignment="1">
      <alignment horizontal="center" vertical="top"/>
    </xf>
    <xf numFmtId="0" fontId="6" fillId="6" borderId="3" xfId="0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top"/>
    </xf>
    <xf numFmtId="0" fontId="6" fillId="3" borderId="4" xfId="0" applyFont="1" applyFill="1" applyBorder="1" applyAlignment="1">
      <alignment horizontal="center" vertical="top"/>
    </xf>
    <xf numFmtId="0" fontId="6" fillId="3" borderId="3" xfId="0" applyFont="1" applyFill="1" applyBorder="1" applyAlignment="1">
      <alignment horizontal="center" vertical="top"/>
    </xf>
    <xf numFmtId="0" fontId="6" fillId="5" borderId="2" xfId="0" applyFont="1" applyFill="1" applyBorder="1" applyAlignment="1">
      <alignment horizontal="center" vertical="top"/>
    </xf>
    <xf numFmtId="0" fontId="6" fillId="5" borderId="4" xfId="0" applyFont="1" applyFill="1" applyBorder="1" applyAlignment="1">
      <alignment horizontal="center" vertical="top"/>
    </xf>
    <xf numFmtId="0" fontId="6" fillId="5" borderId="3" xfId="0" applyFont="1" applyFill="1" applyBorder="1" applyAlignment="1">
      <alignment horizontal="center" vertical="top"/>
    </xf>
    <xf numFmtId="0" fontId="6" fillId="4" borderId="2" xfId="0" applyFont="1" applyFill="1" applyBorder="1" applyAlignment="1">
      <alignment horizontal="center" vertical="top"/>
    </xf>
    <xf numFmtId="0" fontId="6" fillId="4" borderId="4" xfId="0" applyFont="1" applyFill="1" applyBorder="1" applyAlignment="1">
      <alignment horizontal="center" vertical="top"/>
    </xf>
    <xf numFmtId="0" fontId="6" fillId="4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</cellXfs>
  <cellStyles count="7">
    <cellStyle name="Comma" xfId="6" builtinId="3"/>
    <cellStyle name="Comma [0]" xfId="1" builtinId="6"/>
    <cellStyle name="Comma [0] 2 5 2" xfId="3"/>
    <cellStyle name="Comma 2" xfId="5"/>
    <cellStyle name="Normal" xfId="0" builtinId="0"/>
    <cellStyle name="Normal 2" xfId="4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Word_Document1.docx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abSelected="1" zoomScaleNormal="100" workbookViewId="0">
      <selection activeCell="U16" sqref="U16"/>
    </sheetView>
  </sheetViews>
  <sheetFormatPr defaultRowHeight="15"/>
  <sheetData>
    <row r="1" spans="1:1">
      <c r="A1" s="272"/>
    </row>
  </sheetData>
  <pageMargins left="0.7" right="0.7" top="0.75" bottom="0.75" header="0.3" footer="0.3"/>
  <pageSetup orientation="portrait" horizontalDpi="0" verticalDpi="0" r:id="rId1"/>
  <legacyDrawing r:id="rId2"/>
  <oleObjects>
    <oleObject progId="Document" shapeId="2052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4:XFD162"/>
  <sheetViews>
    <sheetView zoomScale="70" zoomScaleNormal="70" workbookViewId="0">
      <selection activeCell="B1" sqref="B1"/>
    </sheetView>
  </sheetViews>
  <sheetFormatPr defaultRowHeight="15"/>
  <cols>
    <col min="1" max="1" width="5.28515625" customWidth="1"/>
    <col min="2" max="2" width="31.7109375" customWidth="1"/>
    <col min="3" max="3" width="22.85546875" customWidth="1"/>
    <col min="4" max="4" width="17.28515625" bestFit="1" customWidth="1"/>
    <col min="5" max="5" width="10.140625" bestFit="1" customWidth="1"/>
    <col min="6" max="9" width="15.7109375" customWidth="1"/>
  </cols>
  <sheetData>
    <row r="4" spans="1:18 16384:16384" ht="18">
      <c r="A4" s="237" t="s">
        <v>153</v>
      </c>
      <c r="B4" s="237"/>
      <c r="C4" s="237"/>
      <c r="D4" s="237"/>
      <c r="E4" s="237"/>
      <c r="F4" s="237"/>
      <c r="G4" s="237"/>
      <c r="H4" s="237"/>
      <c r="I4" s="237"/>
    </row>
    <row r="5" spans="1:18 16384:16384" ht="18">
      <c r="A5" s="237" t="s">
        <v>30</v>
      </c>
      <c r="B5" s="237"/>
      <c r="C5" s="237"/>
      <c r="D5" s="237"/>
      <c r="E5" s="237"/>
      <c r="F5" s="237"/>
      <c r="G5" s="237"/>
      <c r="H5" s="237"/>
      <c r="I5" s="237"/>
    </row>
    <row r="6" spans="1:18 16384:16384" ht="20.25" customHeight="1">
      <c r="A6" s="238" t="s">
        <v>0</v>
      </c>
      <c r="B6" s="238" t="s">
        <v>1</v>
      </c>
      <c r="C6" s="238" t="s">
        <v>2</v>
      </c>
      <c r="D6" s="238" t="s">
        <v>3</v>
      </c>
      <c r="E6" s="238" t="s">
        <v>17</v>
      </c>
      <c r="F6" s="3" t="s">
        <v>69</v>
      </c>
      <c r="G6" s="3"/>
      <c r="H6" s="3"/>
      <c r="I6" s="183"/>
      <c r="J6" s="185"/>
    </row>
    <row r="7" spans="1:18 16384:16384" ht="15.75">
      <c r="A7" s="238"/>
      <c r="B7" s="238"/>
      <c r="C7" s="238"/>
      <c r="D7" s="238"/>
      <c r="E7" s="238"/>
      <c r="F7" s="239" t="s">
        <v>4</v>
      </c>
      <c r="G7" s="241" t="s">
        <v>5</v>
      </c>
      <c r="H7" s="243" t="s">
        <v>6</v>
      </c>
      <c r="I7" s="245" t="s">
        <v>7</v>
      </c>
      <c r="J7" s="186"/>
      <c r="K7" s="56"/>
      <c r="L7" s="56"/>
      <c r="M7" s="56"/>
      <c r="N7" s="56"/>
      <c r="O7" s="56"/>
      <c r="P7" s="56"/>
      <c r="Q7" s="56"/>
      <c r="R7" s="56"/>
    </row>
    <row r="8" spans="1:18 16384:16384" ht="15.75">
      <c r="A8" s="238"/>
      <c r="B8" s="238"/>
      <c r="C8" s="238"/>
      <c r="D8" s="238"/>
      <c r="E8" s="238"/>
      <c r="F8" s="240"/>
      <c r="G8" s="242"/>
      <c r="H8" s="244"/>
      <c r="I8" s="246"/>
      <c r="J8" s="187"/>
      <c r="K8" s="8"/>
      <c r="L8" s="8"/>
      <c r="M8" s="8"/>
      <c r="N8" s="8"/>
      <c r="O8" s="8"/>
      <c r="P8" s="8"/>
      <c r="Q8" s="8"/>
      <c r="R8" s="8"/>
    </row>
    <row r="9" spans="1:18 16384:16384" ht="15.75">
      <c r="A9" s="9">
        <v>1</v>
      </c>
      <c r="B9" s="9">
        <v>2</v>
      </c>
      <c r="C9" s="9">
        <v>3</v>
      </c>
      <c r="D9" s="9">
        <v>4</v>
      </c>
      <c r="E9" s="9">
        <v>5</v>
      </c>
      <c r="F9" s="17">
        <v>6</v>
      </c>
      <c r="G9" s="18">
        <v>7</v>
      </c>
      <c r="H9" s="19">
        <v>8</v>
      </c>
      <c r="I9" s="184">
        <v>9</v>
      </c>
      <c r="J9" s="187"/>
      <c r="K9" s="8"/>
      <c r="L9" s="8"/>
      <c r="M9" s="8"/>
      <c r="N9" s="8"/>
      <c r="O9" s="8"/>
      <c r="P9" s="8"/>
      <c r="Q9" s="8"/>
      <c r="R9" s="8"/>
    </row>
    <row r="10" spans="1:18 16384:16384" ht="15" customHeight="1">
      <c r="A10" s="169">
        <f>'Monev rencana aksi'!A10</f>
        <v>1</v>
      </c>
      <c r="B10" s="230" t="str">
        <f>'Monev rencana aksi'!B10</f>
        <v>Meningkatnya produksi dan produktivitas pertanian tahaman pangan, palawija, holtikultura dan perkebunan</v>
      </c>
      <c r="C10" s="165" t="str">
        <f>'Monev rencana aksi'!C10</f>
        <v>Produksi Padi</v>
      </c>
      <c r="D10" s="168">
        <f>'Monev rencana aksi'!D10</f>
        <v>589200</v>
      </c>
      <c r="E10" s="118" t="str">
        <f>'Monev rencana aksi'!E10</f>
        <v>Ton</v>
      </c>
      <c r="F10" s="166">
        <f>'Monev rencana aksi'!F10</f>
        <v>147300</v>
      </c>
      <c r="G10" s="166">
        <f>'Monev rencana aksi'!K10</f>
        <v>147300</v>
      </c>
      <c r="H10" s="166">
        <f>'Monev rencana aksi'!P10</f>
        <v>147300</v>
      </c>
      <c r="I10" s="166">
        <f>'Monev rencana aksi'!U10</f>
        <v>147300</v>
      </c>
      <c r="J10" s="8"/>
      <c r="K10" s="8"/>
      <c r="L10" s="8"/>
      <c r="M10" s="8"/>
      <c r="N10" s="8"/>
      <c r="O10" s="8"/>
      <c r="P10" s="8"/>
      <c r="Q10" s="8"/>
      <c r="R10" s="8"/>
      <c r="XFD10" s="118"/>
    </row>
    <row r="11" spans="1:18 16384:16384" ht="15" customHeight="1">
      <c r="A11" s="170"/>
      <c r="B11" s="231"/>
      <c r="C11" s="165" t="str">
        <f>'Monev rencana aksi'!C11</f>
        <v>Produksi Jagung</v>
      </c>
      <c r="D11" s="168">
        <f>'Monev rencana aksi'!D11</f>
        <v>44200</v>
      </c>
      <c r="E11" s="118" t="str">
        <f>'Monev rencana aksi'!E11</f>
        <v>Ton</v>
      </c>
      <c r="F11" s="166">
        <f>'Monev rencana aksi'!F11</f>
        <v>28226.522499999999</v>
      </c>
      <c r="G11" s="166">
        <f>'Monev rencana aksi'!K11</f>
        <v>28226.522499999999</v>
      </c>
      <c r="H11" s="166">
        <f>'Monev rencana aksi'!P11</f>
        <v>28226.522499999999</v>
      </c>
      <c r="I11" s="166">
        <f>'Monev rencana aksi'!U11</f>
        <v>28226.522499999999</v>
      </c>
      <c r="J11" s="8"/>
      <c r="K11" s="8"/>
      <c r="L11" s="8"/>
      <c r="M11" s="8"/>
      <c r="N11" s="8"/>
      <c r="O11" s="8"/>
      <c r="P11" s="8"/>
      <c r="Q11" s="8"/>
      <c r="R11" s="8"/>
    </row>
    <row r="12" spans="1:18 16384:16384" ht="15" customHeight="1">
      <c r="A12" s="170"/>
      <c r="B12" s="231"/>
      <c r="C12" s="165" t="str">
        <f>'Monev rencana aksi'!C12</f>
        <v>Produksi Cabe</v>
      </c>
      <c r="D12" s="168">
        <f>'Monev rencana aksi'!D12</f>
        <v>289</v>
      </c>
      <c r="E12" s="118" t="str">
        <f>'Monev rencana aksi'!E12</f>
        <v>Ton</v>
      </c>
      <c r="F12" s="166">
        <f>'Monev rencana aksi'!F12</f>
        <v>3269.5</v>
      </c>
      <c r="G12" s="166">
        <f>'Monev rencana aksi'!K12</f>
        <v>3269.5</v>
      </c>
      <c r="H12" s="166">
        <f>'Monev rencana aksi'!P12</f>
        <v>3269.5</v>
      </c>
      <c r="I12" s="166">
        <f>'Monev rencana aksi'!U12</f>
        <v>3269.5</v>
      </c>
      <c r="J12" s="8"/>
      <c r="K12" s="8"/>
      <c r="L12" s="8"/>
      <c r="M12" s="8"/>
      <c r="N12" s="8"/>
      <c r="O12" s="8"/>
      <c r="P12" s="8"/>
      <c r="Q12" s="8"/>
      <c r="R12" s="8"/>
    </row>
    <row r="13" spans="1:18 16384:16384" ht="15" customHeight="1">
      <c r="A13" s="170"/>
      <c r="B13" s="231"/>
      <c r="C13" s="165" t="str">
        <f>'Monev rencana aksi'!C13</f>
        <v>Produksi Kakao</v>
      </c>
      <c r="D13" s="168">
        <f>'Monev rencana aksi'!D13</f>
        <v>7700</v>
      </c>
      <c r="E13" s="118" t="str">
        <f>'Monev rencana aksi'!E13</f>
        <v>Ton</v>
      </c>
      <c r="F13" s="166">
        <f>'Monev rencana aksi'!F13</f>
        <v>1901.7075</v>
      </c>
      <c r="G13" s="166">
        <f>'Monev rencana aksi'!K13</f>
        <v>1901.7075</v>
      </c>
      <c r="H13" s="166">
        <f>'Monev rencana aksi'!P13</f>
        <v>1901.7075</v>
      </c>
      <c r="I13" s="166">
        <f>'Monev rencana aksi'!U13</f>
        <v>1901.7075</v>
      </c>
      <c r="J13" s="8"/>
      <c r="K13" s="8"/>
      <c r="L13" s="8"/>
      <c r="M13" s="8"/>
      <c r="N13" s="8"/>
      <c r="O13" s="8"/>
      <c r="P13" s="8"/>
      <c r="Q13" s="8"/>
      <c r="R13" s="8"/>
    </row>
    <row r="14" spans="1:18 16384:16384" ht="15" customHeight="1">
      <c r="A14" s="170"/>
      <c r="B14" s="231"/>
      <c r="C14" s="165" t="str">
        <f>'Monev rencana aksi'!C14</f>
        <v>Produksi Jambu mete</v>
      </c>
      <c r="D14" s="168">
        <f>'Monev rencana aksi'!D14</f>
        <v>1000</v>
      </c>
      <c r="E14" s="118" t="str">
        <f>'Monev rencana aksi'!E14</f>
        <v>Ton</v>
      </c>
      <c r="F14" s="166">
        <f>'Monev rencana aksi'!F14</f>
        <v>309.19499999999999</v>
      </c>
      <c r="G14" s="166">
        <f>'Monev rencana aksi'!K14</f>
        <v>309.19499999999999</v>
      </c>
      <c r="H14" s="166">
        <f>'Monev rencana aksi'!P14</f>
        <v>309.19499999999999</v>
      </c>
      <c r="I14" s="166">
        <f>'Monev rencana aksi'!U14</f>
        <v>309.19499999999999</v>
      </c>
      <c r="J14" s="8"/>
      <c r="K14" s="8"/>
      <c r="L14" s="8"/>
      <c r="M14" s="8"/>
      <c r="N14" s="8"/>
      <c r="O14" s="8"/>
      <c r="P14" s="8"/>
      <c r="Q14" s="8"/>
      <c r="R14" s="8"/>
    </row>
    <row r="15" spans="1:18 16384:16384" ht="15" customHeight="1">
      <c r="A15" s="170"/>
      <c r="B15" s="231"/>
      <c r="C15" s="165" t="str">
        <f>'Monev rencana aksi'!C15</f>
        <v>Produksi Cengkeh</v>
      </c>
      <c r="D15" s="168">
        <f>'Monev rencana aksi'!D15</f>
        <v>651</v>
      </c>
      <c r="E15" s="118" t="str">
        <f>'Monev rencana aksi'!E15</f>
        <v>Ton</v>
      </c>
      <c r="F15" s="166">
        <f>'Monev rencana aksi'!F15</f>
        <v>155.07</v>
      </c>
      <c r="G15" s="166">
        <f>'Monev rencana aksi'!K15</f>
        <v>155.07</v>
      </c>
      <c r="H15" s="166">
        <f>'Monev rencana aksi'!P15</f>
        <v>155.07</v>
      </c>
      <c r="I15" s="166">
        <f>'Monev rencana aksi'!U15</f>
        <v>155.07</v>
      </c>
      <c r="J15" s="40"/>
      <c r="K15" s="40"/>
      <c r="L15" s="40"/>
      <c r="M15" s="40"/>
      <c r="N15" s="40"/>
      <c r="O15" s="40"/>
      <c r="P15" s="40"/>
      <c r="Q15" s="40"/>
      <c r="R15" s="40"/>
    </row>
    <row r="16" spans="1:18 16384:16384" ht="15" customHeight="1">
      <c r="A16" s="171"/>
      <c r="B16" s="232"/>
      <c r="C16" s="165" t="str">
        <f>'Monev rencana aksi'!C16</f>
        <v>Produksi Lada</v>
      </c>
      <c r="D16" s="168">
        <f>'Monev rencana aksi'!D16</f>
        <v>85</v>
      </c>
      <c r="E16" s="118" t="str">
        <f>'Monev rencana aksi'!E16</f>
        <v>Ton</v>
      </c>
      <c r="F16" s="166">
        <f>'Monev rencana aksi'!F16</f>
        <v>21.01</v>
      </c>
      <c r="G16" s="166">
        <f>'Monev rencana aksi'!K16</f>
        <v>21.01</v>
      </c>
      <c r="H16" s="166">
        <f>'Monev rencana aksi'!P16</f>
        <v>21.01</v>
      </c>
      <c r="I16" s="166">
        <f>'Monev rencana aksi'!U16</f>
        <v>21.01</v>
      </c>
      <c r="J16" s="40"/>
      <c r="K16" s="40"/>
      <c r="L16" s="40"/>
      <c r="M16" s="40"/>
      <c r="N16" s="40"/>
      <c r="O16" s="40"/>
      <c r="P16" s="40"/>
      <c r="Q16" s="40"/>
      <c r="R16" s="40"/>
    </row>
    <row r="17" spans="1:18" ht="15" customHeight="1">
      <c r="A17" s="169">
        <v>2</v>
      </c>
      <c r="B17" s="230" t="str">
        <f>'Monev rencana aksi'!B18</f>
        <v>Meningkatnya produksi peternakan  dan perikanan</v>
      </c>
      <c r="C17" s="42" t="str">
        <f>'Monev rencana aksi'!C18</f>
        <v>Sapi</v>
      </c>
      <c r="D17" s="167">
        <f>'Monev rencana aksi'!D18</f>
        <v>73091</v>
      </c>
      <c r="E17" s="167" t="str">
        <f>'Monev rencana aksi'!E18</f>
        <v>Ekor</v>
      </c>
      <c r="F17" s="167">
        <f>'Monev rencana aksi'!F18</f>
        <v>9015.75</v>
      </c>
      <c r="G17" s="167">
        <f>'Monev rencana aksi'!K18</f>
        <v>9015.75</v>
      </c>
      <c r="H17" s="167">
        <f>'Monev rencana aksi'!P18</f>
        <v>9015.75</v>
      </c>
      <c r="I17" s="167">
        <f>'Monev rencana aksi'!U18</f>
        <v>9015.75</v>
      </c>
      <c r="J17" s="40"/>
      <c r="K17" s="40"/>
      <c r="L17" s="40"/>
      <c r="M17" s="40"/>
      <c r="N17" s="40"/>
      <c r="O17" s="40"/>
      <c r="P17" s="40"/>
      <c r="Q17" s="40"/>
      <c r="R17" s="40"/>
    </row>
    <row r="18" spans="1:18" ht="15" customHeight="1">
      <c r="A18" s="170"/>
      <c r="B18" s="231"/>
      <c r="C18" s="42" t="str">
        <f>'Monev rencana aksi'!C19</f>
        <v>Kerbau</v>
      </c>
      <c r="D18" s="167">
        <f>'Monev rencana aksi'!D19</f>
        <v>3329</v>
      </c>
      <c r="E18" s="167" t="str">
        <f>'Monev rencana aksi'!E19</f>
        <v>Ekor</v>
      </c>
      <c r="F18" s="167">
        <f>'Monev rencana aksi'!F19</f>
        <v>400.5</v>
      </c>
      <c r="G18" s="167">
        <f>'Monev rencana aksi'!K19</f>
        <v>400.5</v>
      </c>
      <c r="H18" s="167">
        <f>'Monev rencana aksi'!P19</f>
        <v>400.5</v>
      </c>
      <c r="I18" s="167">
        <f>'Monev rencana aksi'!U19</f>
        <v>400.5</v>
      </c>
      <c r="J18" s="40"/>
      <c r="K18" s="40"/>
      <c r="L18" s="40"/>
      <c r="M18" s="40"/>
      <c r="N18" s="40"/>
      <c r="O18" s="40"/>
      <c r="P18" s="40"/>
      <c r="Q18" s="40"/>
      <c r="R18" s="40"/>
    </row>
    <row r="19" spans="1:18" ht="15" customHeight="1">
      <c r="A19" s="170"/>
      <c r="B19" s="231"/>
      <c r="C19" s="42" t="str">
        <f>'Monev rencana aksi'!C20</f>
        <v>Kuda</v>
      </c>
      <c r="D19" s="167">
        <f>'Monev rencana aksi'!D20</f>
        <v>586</v>
      </c>
      <c r="E19" s="167" t="str">
        <f>'Monev rencana aksi'!E20</f>
        <v>Ekor</v>
      </c>
      <c r="F19" s="167">
        <f>'Monev rencana aksi'!F20</f>
        <v>73.25</v>
      </c>
      <c r="G19" s="167">
        <f>'Monev rencana aksi'!K20</f>
        <v>73.25</v>
      </c>
      <c r="H19" s="167">
        <f>'Monev rencana aksi'!P20</f>
        <v>73.25</v>
      </c>
      <c r="I19" s="167">
        <f>'Monev rencana aksi'!U20</f>
        <v>73.25</v>
      </c>
      <c r="J19" s="40"/>
      <c r="K19" s="40"/>
      <c r="L19" s="40"/>
      <c r="M19" s="40"/>
      <c r="N19" s="40"/>
      <c r="O19" s="40"/>
      <c r="P19" s="40"/>
      <c r="Q19" s="40"/>
      <c r="R19" s="40"/>
    </row>
    <row r="20" spans="1:18" ht="15" customHeight="1">
      <c r="A20" s="170"/>
      <c r="B20" s="231"/>
      <c r="C20" s="42" t="str">
        <f>'Monev rencana aksi'!C21</f>
        <v>Kambing</v>
      </c>
      <c r="D20" s="167">
        <f>'Monev rencana aksi'!D21</f>
        <v>15083</v>
      </c>
      <c r="E20" s="167" t="str">
        <f>'Monev rencana aksi'!E21</f>
        <v>Ekor</v>
      </c>
      <c r="F20" s="167">
        <f>'Monev rencana aksi'!F21</f>
        <v>1568.25</v>
      </c>
      <c r="G20" s="167">
        <f>'Monev rencana aksi'!K21</f>
        <v>1568.25</v>
      </c>
      <c r="H20" s="167">
        <f>'Monev rencana aksi'!P21</f>
        <v>1568.25</v>
      </c>
      <c r="I20" s="167">
        <f>'Monev rencana aksi'!U21</f>
        <v>1568.25</v>
      </c>
      <c r="J20" s="40"/>
      <c r="K20" s="40"/>
      <c r="L20" s="40"/>
      <c r="M20" s="40"/>
      <c r="N20" s="40"/>
      <c r="O20" s="40"/>
      <c r="P20" s="40"/>
      <c r="Q20" s="40"/>
      <c r="R20" s="40"/>
    </row>
    <row r="21" spans="1:18" ht="15" customHeight="1">
      <c r="A21" s="170"/>
      <c r="B21" s="231"/>
      <c r="C21" s="42" t="str">
        <f>'Monev rencana aksi'!C22</f>
        <v>Ayam Ras Pedaging</v>
      </c>
      <c r="D21" s="167">
        <f>'Monev rencana aksi'!D22</f>
        <v>3668330</v>
      </c>
      <c r="E21" s="167" t="str">
        <f>'Monev rencana aksi'!E22</f>
        <v>Ekor</v>
      </c>
      <c r="F21" s="167">
        <f>'Monev rencana aksi'!F22</f>
        <v>896644.5</v>
      </c>
      <c r="G21" s="167">
        <f>'Monev rencana aksi'!K22</f>
        <v>896644.5</v>
      </c>
      <c r="H21" s="167">
        <f>'Monev rencana aksi'!P22</f>
        <v>896644.5</v>
      </c>
      <c r="I21" s="167">
        <f>'Monev rencana aksi'!U22</f>
        <v>896644.5</v>
      </c>
      <c r="J21" s="40"/>
      <c r="K21" s="40"/>
      <c r="L21" s="40"/>
      <c r="M21" s="40"/>
      <c r="N21" s="40"/>
      <c r="O21" s="40"/>
      <c r="P21" s="40"/>
      <c r="Q21" s="40"/>
      <c r="R21" s="40"/>
    </row>
    <row r="22" spans="1:18" ht="15" customHeight="1">
      <c r="A22" s="170"/>
      <c r="B22" s="231"/>
      <c r="C22" s="42" t="str">
        <f>'Monev rencana aksi'!C23</f>
        <v>Ayam Buras</v>
      </c>
      <c r="D22" s="167">
        <f>'Monev rencana aksi'!D23</f>
        <v>2282474</v>
      </c>
      <c r="E22" s="167" t="str">
        <f>'Monev rencana aksi'!E23</f>
        <v>Ekor</v>
      </c>
      <c r="F22" s="167">
        <f>'Monev rencana aksi'!F23</f>
        <v>165098.5</v>
      </c>
      <c r="G22" s="167">
        <f>'Monev rencana aksi'!K23</f>
        <v>165098.5</v>
      </c>
      <c r="H22" s="167">
        <f>'Monev rencana aksi'!P23</f>
        <v>165098.5</v>
      </c>
      <c r="I22" s="167">
        <f>'Monev rencana aksi'!U23</f>
        <v>165098.5</v>
      </c>
      <c r="J22" s="40"/>
      <c r="K22" s="40"/>
      <c r="L22" s="40"/>
      <c r="M22" s="40"/>
      <c r="N22" s="40"/>
      <c r="O22" s="40"/>
      <c r="P22" s="40"/>
      <c r="Q22" s="40"/>
      <c r="R22" s="40"/>
    </row>
    <row r="23" spans="1:18" ht="15" customHeight="1">
      <c r="A23" s="170"/>
      <c r="B23" s="231"/>
      <c r="C23" s="42" t="str">
        <f>'Monev rencana aksi'!C24</f>
        <v>Ayam Ras Petelur</v>
      </c>
      <c r="D23" s="167">
        <f>'Monev rencana aksi'!D24</f>
        <v>5407806</v>
      </c>
      <c r="E23" s="167" t="str">
        <f>'Monev rencana aksi'!E24</f>
        <v>Ekor</v>
      </c>
      <c r="F23" s="167">
        <f>'Monev rencana aksi'!F24</f>
        <v>1309468.25</v>
      </c>
      <c r="G23" s="167">
        <f>'Monev rencana aksi'!K24</f>
        <v>1309468.25</v>
      </c>
      <c r="H23" s="167">
        <f>'Monev rencana aksi'!P24</f>
        <v>1309468.25</v>
      </c>
      <c r="I23" s="167">
        <f>'Monev rencana aksi'!U24</f>
        <v>1309468.25</v>
      </c>
      <c r="J23" s="40"/>
      <c r="K23" s="40"/>
      <c r="L23" s="40"/>
      <c r="M23" s="40"/>
      <c r="N23" s="40"/>
      <c r="O23" s="40"/>
      <c r="P23" s="40"/>
      <c r="Q23" s="40"/>
      <c r="R23" s="40"/>
    </row>
    <row r="24" spans="1:18" ht="15" customHeight="1">
      <c r="A24" s="170"/>
      <c r="B24" s="231"/>
      <c r="C24" s="42" t="str">
        <f>'Monev rencana aksi'!C25</f>
        <v>Itik</v>
      </c>
      <c r="D24" s="167">
        <f>'Monev rencana aksi'!D25</f>
        <v>678138</v>
      </c>
      <c r="E24" s="167" t="str">
        <f>'Monev rencana aksi'!E25</f>
        <v>Ekor</v>
      </c>
      <c r="F24" s="167">
        <f>'Monev rencana aksi'!F25</f>
        <v>328287.75</v>
      </c>
      <c r="G24" s="167">
        <f>'Monev rencana aksi'!K25</f>
        <v>328287.75</v>
      </c>
      <c r="H24" s="167">
        <f>'Monev rencana aksi'!P25</f>
        <v>328287.75</v>
      </c>
      <c r="I24" s="167">
        <f>'Monev rencana aksi'!U25</f>
        <v>328287.75</v>
      </c>
    </row>
    <row r="25" spans="1:18" ht="15" customHeight="1">
      <c r="A25" s="170"/>
      <c r="B25" s="231"/>
      <c r="C25" s="42" t="str">
        <f>'Monev rencana aksi'!C26</f>
        <v>Daging Sapi</v>
      </c>
      <c r="D25" s="167">
        <f>'Monev rencana aksi'!D26</f>
        <v>750108</v>
      </c>
      <c r="E25" s="167" t="str">
        <f>'Monev rencana aksi'!E26</f>
        <v>Kg</v>
      </c>
      <c r="F25" s="167">
        <f>'Monev rencana aksi'!F26</f>
        <v>179547.25</v>
      </c>
      <c r="G25" s="167">
        <f>'Monev rencana aksi'!K26</f>
        <v>179547.25</v>
      </c>
      <c r="H25" s="167">
        <f>'Monev rencana aksi'!P26</f>
        <v>179547.25</v>
      </c>
      <c r="I25" s="167">
        <f>'Monev rencana aksi'!U26</f>
        <v>179547.25</v>
      </c>
    </row>
    <row r="26" spans="1:18" ht="15" customHeight="1">
      <c r="A26" s="170"/>
      <c r="B26" s="231"/>
      <c r="C26" s="42" t="str">
        <f>'Monev rencana aksi'!C27</f>
        <v>Telur</v>
      </c>
      <c r="D26" s="167">
        <f>'Monev rencana aksi'!D27</f>
        <v>55835000</v>
      </c>
      <c r="E26" s="167" t="str">
        <f>'Monev rencana aksi'!E27</f>
        <v>Kg</v>
      </c>
      <c r="F26" s="167">
        <f>'Monev rencana aksi'!F27</f>
        <v>15361474.75</v>
      </c>
      <c r="G26" s="167">
        <f>'Monev rencana aksi'!K27</f>
        <v>15361474.75</v>
      </c>
      <c r="H26" s="167">
        <f>'Monev rencana aksi'!P27</f>
        <v>15361474.75</v>
      </c>
      <c r="I26" s="167">
        <f>'Monev rencana aksi'!U27</f>
        <v>15361474.75</v>
      </c>
    </row>
    <row r="27" spans="1:18" ht="15" customHeight="1">
      <c r="A27" s="170"/>
      <c r="B27" s="231"/>
      <c r="C27" s="42" t="str">
        <f>'Monev rencana aksi'!C28</f>
        <v>Perikanan Budidaya</v>
      </c>
      <c r="D27" s="167">
        <f>'Monev rencana aksi'!D28</f>
        <v>806.8</v>
      </c>
      <c r="E27" s="167" t="str">
        <f>'Monev rencana aksi'!E28</f>
        <v>Ton</v>
      </c>
      <c r="F27" s="167">
        <f>'Monev rencana aksi'!F28</f>
        <v>180.98500000000001</v>
      </c>
      <c r="G27" s="167">
        <f>'Monev rencana aksi'!K28</f>
        <v>180.98500000000001</v>
      </c>
      <c r="H27" s="167">
        <f>'Monev rencana aksi'!P28</f>
        <v>180.98500000000001</v>
      </c>
      <c r="I27" s="167">
        <f>'Monev rencana aksi'!U28</f>
        <v>180.98500000000001</v>
      </c>
    </row>
    <row r="28" spans="1:18" ht="15" customHeight="1">
      <c r="A28" s="171"/>
      <c r="B28" s="232"/>
      <c r="C28" s="42" t="str">
        <f>'Monev rencana aksi'!C29</f>
        <v>Perikanan Tangkap</v>
      </c>
      <c r="D28" s="167">
        <f>'Monev rencana aksi'!D29</f>
        <v>3361</v>
      </c>
      <c r="E28" s="167" t="str">
        <f>'Monev rencana aksi'!E29</f>
        <v>Ton</v>
      </c>
      <c r="F28" s="167">
        <f>'Monev rencana aksi'!F29</f>
        <v>818.97500000000002</v>
      </c>
      <c r="G28" s="167">
        <f>'Monev rencana aksi'!K29</f>
        <v>818.97500000000002</v>
      </c>
      <c r="H28" s="167">
        <f>'Monev rencana aksi'!P29</f>
        <v>818.97500000000002</v>
      </c>
      <c r="I28" s="167">
        <f>'Monev rencana aksi'!U29</f>
        <v>818.97500000000002</v>
      </c>
    </row>
    <row r="29" spans="1:18" ht="28.5">
      <c r="A29" s="118">
        <v>3</v>
      </c>
      <c r="B29" s="37" t="str">
        <f>'Monev rencana aksi'!B31</f>
        <v>Terciptanya keterpaduan usaha tani dari hulu ke hilir</v>
      </c>
      <c r="C29" s="37" t="str">
        <f>'Monev rencana aksi'!C31</f>
        <v>Panjang jalan tani terbangun</v>
      </c>
      <c r="D29" s="180">
        <f>'Monev rencana aksi'!D31</f>
        <v>66000</v>
      </c>
      <c r="E29" s="180" t="str">
        <f>'Monev rencana aksi'!E31</f>
        <v>meter</v>
      </c>
      <c r="F29" s="180">
        <f>'Monev rencana aksi'!F31</f>
        <v>675</v>
      </c>
      <c r="G29" s="180">
        <f>'Monev rencana aksi'!G31</f>
        <v>675</v>
      </c>
      <c r="H29" s="180">
        <f>'Monev rencana aksi'!P31</f>
        <v>675</v>
      </c>
      <c r="I29" s="180">
        <f>'Monev rencana aksi'!I31</f>
        <v>675</v>
      </c>
    </row>
    <row r="30" spans="1:18" ht="64.5" customHeight="1">
      <c r="A30" s="118">
        <v>4</v>
      </c>
      <c r="B30" s="37" t="str">
        <f>'Monev rencana aksi'!B32</f>
        <v>Terciptanya keterpaduan usaha tani antar sub sektor pertanian dan perkebunan, peternakan dan perikanan</v>
      </c>
      <c r="C30" s="37" t="str">
        <f>'Monev rencana aksi'!C32</f>
        <v>Sarana dan Prasarana Penyuluh Perikanan</v>
      </c>
      <c r="D30" s="180">
        <f>'Monev rencana aksi'!D32</f>
        <v>1</v>
      </c>
      <c r="E30" s="180" t="str">
        <f>'Monev rencana aksi'!E32</f>
        <v>paket</v>
      </c>
      <c r="F30" s="180">
        <f>'Monev rencana aksi'!F32</f>
        <v>0.25</v>
      </c>
      <c r="G30" s="180">
        <f>'Monev rencana aksi'!G32</f>
        <v>0</v>
      </c>
      <c r="H30" s="180">
        <f>'Monev rencana aksi'!P32</f>
        <v>1</v>
      </c>
      <c r="I30" s="180">
        <f>'Monev rencana aksi'!I32</f>
        <v>0</v>
      </c>
    </row>
    <row r="31" spans="1:18" ht="71.25">
      <c r="A31" s="118">
        <v>5</v>
      </c>
      <c r="B31" s="37" t="str">
        <f>'Monev rencana aksi'!B33</f>
        <v>Meningkatnya Penerapan Teknologi Pertanian Mutakhir</v>
      </c>
      <c r="C31" s="37" t="str">
        <f>'Monev rencana aksi'!C33</f>
        <v>Peningkatan pengetahuan dan keterampilan bagi kelompok tani dan gapoktan.</v>
      </c>
      <c r="D31" s="180">
        <f>'Monev rencana aksi'!D33</f>
        <v>15</v>
      </c>
      <c r="E31" s="180" t="str">
        <f>'Monev rencana aksi'!E33</f>
        <v>klp</v>
      </c>
      <c r="F31" s="180">
        <f>'Monev rencana aksi'!F33</f>
        <v>0</v>
      </c>
      <c r="G31" s="180">
        <f>'Monev rencana aksi'!K33</f>
        <v>3</v>
      </c>
      <c r="H31" s="180">
        <f>'Monev rencana aksi'!P33</f>
        <v>6</v>
      </c>
      <c r="I31" s="180">
        <f>'Monev rencana aksi'!U33</f>
        <v>6</v>
      </c>
    </row>
    <row r="32" spans="1:18" ht="57">
      <c r="A32" s="169">
        <v>6</v>
      </c>
      <c r="B32" s="44" t="str">
        <f>'Monev rencana aksi'!B34</f>
        <v>Meningkatnya Kualitas Manajemen  usaha tani</v>
      </c>
      <c r="C32" s="37" t="str">
        <f>'Monev rencana aksi'!C34</f>
        <v>Jumlah Penyuluh yang ikut pelatihan dasar dan Pelatihan tekhnis (Orang)</v>
      </c>
      <c r="D32" s="180">
        <f>'Monev rencana aksi'!D34</f>
        <v>70</v>
      </c>
      <c r="E32" s="180" t="str">
        <f>'Monev rencana aksi'!E34</f>
        <v>org</v>
      </c>
      <c r="F32" s="180">
        <f>'Monev rencana aksi'!F34</f>
        <v>17.5</v>
      </c>
      <c r="G32" s="180">
        <f>'Monev rencana aksi'!K34</f>
        <v>17.5</v>
      </c>
      <c r="H32" s="180">
        <f>'Monev rencana aksi'!P34</f>
        <v>17.5</v>
      </c>
      <c r="I32" s="180">
        <f>'Monev rencana aksi'!U34</f>
        <v>17.5</v>
      </c>
    </row>
    <row r="33" spans="1:9" ht="33" customHeight="1">
      <c r="A33" s="171"/>
      <c r="B33" s="49"/>
      <c r="C33" s="37" t="str">
        <f>'Monev rencana aksi'!C35</f>
        <v>Jumlah Kelompok yang dibina (Klp)</v>
      </c>
      <c r="D33" s="180">
        <f>'Monev rencana aksi'!D35</f>
        <v>100</v>
      </c>
      <c r="E33" s="180" t="str">
        <f>'Monev rencana aksi'!E35</f>
        <v>klp</v>
      </c>
      <c r="F33" s="180">
        <f>'Monev rencana aksi'!F35</f>
        <v>24.25</v>
      </c>
      <c r="G33" s="180">
        <f>'Monev rencana aksi'!K35</f>
        <v>24.25</v>
      </c>
      <c r="H33" s="180">
        <f>'Monev rencana aksi'!P35</f>
        <v>24.25</v>
      </c>
      <c r="I33" s="180">
        <f>'Monev rencana aksi'!U35</f>
        <v>24.25</v>
      </c>
    </row>
    <row r="34" spans="1:9" ht="51" customHeight="1">
      <c r="A34" s="169">
        <v>7</v>
      </c>
      <c r="B34" s="44" t="str">
        <f>'Monev rencana aksi'!B36</f>
        <v>Terkendalinya laju degradasi atau penurunan tingkat kesuburan lahan</v>
      </c>
      <c r="C34" s="37" t="str">
        <f>'Monev rencana aksi'!C36</f>
        <v xml:space="preserve">Persentase Koordinasi dan rumusan kebijakan sumber daya alam </v>
      </c>
      <c r="D34" s="180">
        <f>'Monev rencana aksi'!D36</f>
        <v>100</v>
      </c>
      <c r="E34" s="180" t="str">
        <f>'Monev rencana aksi'!E36</f>
        <v>%</v>
      </c>
      <c r="F34" s="180">
        <f>'Monev rencana aksi'!F36</f>
        <v>25</v>
      </c>
      <c r="G34" s="180">
        <f>'Monev rencana aksi'!K36</f>
        <v>25</v>
      </c>
      <c r="H34" s="180">
        <f>'Monev rencana aksi'!P36</f>
        <v>25</v>
      </c>
      <c r="I34" s="180">
        <f>'Monev rencana aksi'!U36</f>
        <v>25</v>
      </c>
    </row>
    <row r="35" spans="1:9" ht="96" customHeight="1">
      <c r="A35" s="118">
        <v>8</v>
      </c>
      <c r="B35" s="37" t="str">
        <f>'Monev rencana aksi'!B37</f>
        <v>Meningkatnya Kelestarian Sumber Daya Air</v>
      </c>
      <c r="C35" s="37" t="str">
        <f>'Monev rencana aksi'!C37</f>
        <v>Tersedianya Sumber Air Permukaan dan Air tanah dalam untuk kebutuhan pada Lahan sawah tadah hujan dan Perekebunan</v>
      </c>
      <c r="D35" s="180">
        <f>'Monev rencana aksi'!D37</f>
        <v>34</v>
      </c>
      <c r="E35" s="180" t="str">
        <f>'Monev rencana aksi'!E37</f>
        <v>unit</v>
      </c>
      <c r="F35" s="180">
        <f>'Monev rencana aksi'!F37</f>
        <v>8.5</v>
      </c>
      <c r="G35" s="180">
        <f>'Monev rencana aksi'!K37</f>
        <v>8.5</v>
      </c>
      <c r="H35" s="180">
        <f>'Monev rencana aksi'!P37</f>
        <v>8.5</v>
      </c>
      <c r="I35" s="180">
        <f>'Monev rencana aksi'!U37</f>
        <v>8.5</v>
      </c>
    </row>
    <row r="36" spans="1:9" ht="51" customHeight="1">
      <c r="A36" s="118">
        <v>9</v>
      </c>
      <c r="B36" s="37" t="str">
        <f>'Monev rencana aksi'!B38</f>
        <v>Berkembang nya Produk Pertanian Organik</v>
      </c>
      <c r="C36" s="37" t="str">
        <f>'Monev rencana aksi'!C38</f>
        <v>Cakupan koordinasi perumusan kebijakan lingkungan hidup</v>
      </c>
      <c r="D36" s="180">
        <f>'Monev rencana aksi'!D38</f>
        <v>1</v>
      </c>
      <c r="E36" s="180" t="str">
        <f>'Monev rencana aksi'!E38</f>
        <v>kegiatan</v>
      </c>
      <c r="F36" s="180">
        <f>'Monev rencana aksi'!F38</f>
        <v>0</v>
      </c>
      <c r="G36" s="180">
        <f>'Monev rencana aksi'!K38</f>
        <v>0</v>
      </c>
      <c r="H36" s="180">
        <f>'Monev rencana aksi'!P38</f>
        <v>1</v>
      </c>
      <c r="I36" s="180">
        <f>'Monev rencana aksi'!U38</f>
        <v>0</v>
      </c>
    </row>
    <row r="37" spans="1:9" ht="78.75" customHeight="1">
      <c r="A37" s="118">
        <v>10</v>
      </c>
      <c r="B37" s="37" t="str">
        <f>'Monev rencana aksi'!B39</f>
        <v>Meningkatnya nilai produksi masing-masing sector perekonomian</v>
      </c>
      <c r="C37" s="37" t="str">
        <f>'Monev rencana aksi'!C39</f>
        <v>Terlaksananya pengawasan peredaran barang dan jasa serta pelaksanaan tera/tera ulang alat UTTP</v>
      </c>
      <c r="D37" s="180">
        <f>'Monev rencana aksi'!D39</f>
        <v>7120</v>
      </c>
      <c r="E37" s="180" t="str">
        <f>'Monev rencana aksi'!E39</f>
        <v>pelaku usaha</v>
      </c>
      <c r="F37" s="180">
        <f>'Monev rencana aksi'!F39</f>
        <v>40.75</v>
      </c>
      <c r="G37" s="180">
        <f>'Monev rencana aksi'!K39</f>
        <v>40.75</v>
      </c>
      <c r="H37" s="180">
        <f>'Monev rencana aksi'!P39</f>
        <v>40.75</v>
      </c>
      <c r="I37" s="180">
        <f>'Monev rencana aksi'!U39</f>
        <v>40.75</v>
      </c>
    </row>
    <row r="38" spans="1:9" ht="42.75">
      <c r="A38" s="169">
        <v>11</v>
      </c>
      <c r="B38" s="44" t="str">
        <f>'Monev rencana aksi'!B40</f>
        <v>Meningkatnya sharing sector industry pengolahan jasa dalam struktur PDRB</v>
      </c>
      <c r="C38" s="37" t="str">
        <f>'Monev rencana aksi'!C40</f>
        <v xml:space="preserve">Cakupan bina kelompok IKM  </v>
      </c>
      <c r="D38" s="180">
        <f>'Monev rencana aksi'!D40</f>
        <v>124</v>
      </c>
      <c r="E38" s="180" t="str">
        <f>'Monev rencana aksi'!E40</f>
        <v>klp</v>
      </c>
      <c r="F38" s="180">
        <f>'Monev rencana aksi'!F40</f>
        <v>23.25</v>
      </c>
      <c r="G38" s="180">
        <f>'Monev rencana aksi'!K40</f>
        <v>23.25</v>
      </c>
      <c r="H38" s="180">
        <f>'Monev rencana aksi'!P40</f>
        <v>23.25</v>
      </c>
      <c r="I38" s="180">
        <f>'Monev rencana aksi'!U40</f>
        <v>23.25</v>
      </c>
    </row>
    <row r="39" spans="1:9" ht="28.5">
      <c r="A39" s="170"/>
      <c r="B39" s="55"/>
      <c r="C39" s="37" t="str">
        <f>'Monev rencana aksi'!C41</f>
        <v>Cakupan jumlah IKM aktif dan produktif</v>
      </c>
      <c r="D39" s="180">
        <f>'Monev rencana aksi'!D41</f>
        <v>49</v>
      </c>
      <c r="E39" s="180" t="str">
        <f>'Monev rencana aksi'!E41</f>
        <v>%</v>
      </c>
      <c r="F39" s="180">
        <f>'Monev rencana aksi'!F41</f>
        <v>14.945</v>
      </c>
      <c r="G39" s="180">
        <f>'Monev rencana aksi'!K41</f>
        <v>14.945</v>
      </c>
      <c r="H39" s="180">
        <f>'Monev rencana aksi'!P41</f>
        <v>14.945</v>
      </c>
      <c r="I39" s="180">
        <f>'Monev rencana aksi'!U41</f>
        <v>14.945</v>
      </c>
    </row>
    <row r="40" spans="1:9" ht="28.5">
      <c r="A40" s="170"/>
      <c r="B40" s="55"/>
      <c r="C40" s="37" t="str">
        <f>'Monev rencana aksi'!C42</f>
        <v>Cakupan jumlah IKM baru</v>
      </c>
      <c r="D40" s="180">
        <f>'Monev rencana aksi'!D42</f>
        <v>1000</v>
      </c>
      <c r="E40" s="180" t="str">
        <f>'Monev rencana aksi'!E42</f>
        <v>IKM</v>
      </c>
      <c r="F40" s="180">
        <f>'Monev rencana aksi'!F42</f>
        <v>209</v>
      </c>
      <c r="G40" s="180">
        <f>'Monev rencana aksi'!K42</f>
        <v>209</v>
      </c>
      <c r="H40" s="180">
        <f>'Monev rencana aksi'!P42</f>
        <v>209</v>
      </c>
      <c r="I40" s="180">
        <f>'Monev rencana aksi'!U42</f>
        <v>209</v>
      </c>
    </row>
    <row r="41" spans="1:9" ht="42.75">
      <c r="A41" s="170"/>
      <c r="B41" s="55"/>
      <c r="C41" s="37" t="str">
        <f>'Monev rencana aksi'!C43</f>
        <v>Kostribusi sector industri terhadap PDRB</v>
      </c>
      <c r="D41" s="180">
        <f>'Monev rencana aksi'!D43</f>
        <v>14.75</v>
      </c>
      <c r="E41" s="180" t="str">
        <f>'Monev rencana aksi'!E43</f>
        <v>%</v>
      </c>
      <c r="F41" s="180">
        <f>'Monev rencana aksi'!F43</f>
        <v>3.5525000000000002</v>
      </c>
      <c r="G41" s="180">
        <f>'Monev rencana aksi'!K43</f>
        <v>3.5525000000000002</v>
      </c>
      <c r="H41" s="180">
        <f>'Monev rencana aksi'!P43</f>
        <v>3.5525000000000002</v>
      </c>
      <c r="I41" s="180">
        <f>'Monev rencana aksi'!U43</f>
        <v>3.5525000000000002</v>
      </c>
    </row>
    <row r="42" spans="1:9">
      <c r="A42" s="170"/>
      <c r="B42" s="55"/>
      <c r="C42" s="37" t="str">
        <f>'Monev rencana aksi'!C44</f>
        <v>Pertumbuhan Industri</v>
      </c>
      <c r="D42" s="180">
        <f>'Monev rencana aksi'!D44</f>
        <v>3.89</v>
      </c>
      <c r="E42" s="180" t="str">
        <f>'Monev rencana aksi'!E44</f>
        <v>%</v>
      </c>
      <c r="F42" s="180">
        <f>'Monev rencana aksi'!F44</f>
        <v>1.2024999999999999</v>
      </c>
      <c r="G42" s="180">
        <f>'Monev rencana aksi'!K44</f>
        <v>1.2024999999999999</v>
      </c>
      <c r="H42" s="180">
        <f>'Monev rencana aksi'!P44</f>
        <v>1.2024999999999999</v>
      </c>
      <c r="I42" s="180">
        <f>'Monev rencana aksi'!U44</f>
        <v>1.2024999999999999</v>
      </c>
    </row>
    <row r="43" spans="1:9" ht="28.5">
      <c r="A43" s="170"/>
      <c r="B43" s="55"/>
      <c r="C43" s="37" t="str">
        <f>'Monev rencana aksi'!C45</f>
        <v>Cakupan Peningkatan kajian pelaku industri</v>
      </c>
      <c r="D43" s="180">
        <f>'Monev rencana aksi'!D45</f>
        <v>72</v>
      </c>
      <c r="E43" s="180" t="str">
        <f>'Monev rencana aksi'!E45</f>
        <v>%</v>
      </c>
      <c r="F43" s="180">
        <f>'Monev rencana aksi'!F45</f>
        <v>18.892499999999998</v>
      </c>
      <c r="G43" s="180">
        <f>'Monev rencana aksi'!K45</f>
        <v>18.892499999999998</v>
      </c>
      <c r="H43" s="180">
        <f>'Monev rencana aksi'!P45</f>
        <v>18.892499999999998</v>
      </c>
      <c r="I43" s="180">
        <f>'Monev rencana aksi'!U45</f>
        <v>18.892499999999998</v>
      </c>
    </row>
    <row r="44" spans="1:9" ht="71.25">
      <c r="A44" s="170"/>
      <c r="B44" s="55"/>
      <c r="C44" s="37" t="str">
        <f>'Monev rencana aksi'!C46</f>
        <v>Jumlah tenaga kerja pada lembaga ketenagakerjaan yang mendapat perlindungan hukum</v>
      </c>
      <c r="D44" s="180">
        <f>'Monev rencana aksi'!D46</f>
        <v>40</v>
      </c>
      <c r="E44" s="180" t="str">
        <f>'Monev rencana aksi'!E46</f>
        <v>kegiatan</v>
      </c>
      <c r="F44" s="180">
        <f>'Monev rencana aksi'!F46</f>
        <v>28.75</v>
      </c>
      <c r="G44" s="180">
        <f>'Monev rencana aksi'!K46</f>
        <v>28.75</v>
      </c>
      <c r="H44" s="180">
        <f>'Monev rencana aksi'!P46</f>
        <v>28.75</v>
      </c>
      <c r="I44" s="180">
        <f>'Monev rencana aksi'!U46</f>
        <v>28.75</v>
      </c>
    </row>
    <row r="45" spans="1:9" ht="42.75">
      <c r="A45" s="170"/>
      <c r="B45" s="55"/>
      <c r="C45" s="37" t="str">
        <f>'Monev rencana aksi'!C47</f>
        <v>Jumlah Tenaga Kerja yang mendapatkan pelatihan kerja</v>
      </c>
      <c r="D45" s="180">
        <f>'Monev rencana aksi'!D47</f>
        <v>9</v>
      </c>
      <c r="E45" s="180" t="str">
        <f>'Monev rencana aksi'!E47</f>
        <v>kegiatan</v>
      </c>
      <c r="F45" s="180">
        <f>'Monev rencana aksi'!F47</f>
        <v>2.25</v>
      </c>
      <c r="G45" s="180">
        <f>'Monev rencana aksi'!K47</f>
        <v>2.25</v>
      </c>
      <c r="H45" s="180">
        <f>'Monev rencana aksi'!P47</f>
        <v>2.25</v>
      </c>
      <c r="I45" s="180">
        <f>'Monev rencana aksi'!U47</f>
        <v>2.25</v>
      </c>
    </row>
    <row r="46" spans="1:9" ht="28.5">
      <c r="A46" s="170"/>
      <c r="B46" s="55"/>
      <c r="C46" s="37" t="str">
        <f>'Monev rencana aksi'!C48</f>
        <v>Persentase kepuasan pasien</v>
      </c>
      <c r="D46" s="180">
        <f>'Monev rencana aksi'!D48</f>
        <v>90</v>
      </c>
      <c r="E46" s="180" t="str">
        <f>'Monev rencana aksi'!E48</f>
        <v>%</v>
      </c>
      <c r="F46" s="180">
        <f>'Monev rencana aksi'!F48</f>
        <v>28.587499999999999</v>
      </c>
      <c r="G46" s="180">
        <f>'Monev rencana aksi'!K48</f>
        <v>28.587499999999999</v>
      </c>
      <c r="H46" s="180">
        <f>'Monev rencana aksi'!P48</f>
        <v>28.587499999999999</v>
      </c>
      <c r="I46" s="180">
        <f>'Monev rencana aksi'!U48</f>
        <v>28.587499999999999</v>
      </c>
    </row>
    <row r="47" spans="1:9" ht="78.75" customHeight="1">
      <c r="A47" s="169">
        <v>12</v>
      </c>
      <c r="B47" s="44" t="str">
        <f>'Monev rencana aksi'!B46</f>
        <v>Terwujudnya daya saing tenaga kerja pada bidang yang mendukung produksi pertanian,  industri pengolahan dan jasa</v>
      </c>
      <c r="C47" s="37" t="str">
        <f>'Monev rencana aksi'!C46</f>
        <v>Jumlah tenaga kerja pada lembaga ketenagakerjaan yang mendapat perlindungan hukum</v>
      </c>
      <c r="D47" s="37">
        <f>'Monev rencana aksi'!D46</f>
        <v>40</v>
      </c>
      <c r="E47" s="37" t="str">
        <f>'Monev rencana aksi'!E46</f>
        <v>kegiatan</v>
      </c>
      <c r="F47" s="37">
        <f>'Monev rencana aksi'!F46</f>
        <v>28.75</v>
      </c>
      <c r="G47" s="37">
        <f>'Monev rencana aksi'!K46</f>
        <v>28.75</v>
      </c>
      <c r="H47" s="37">
        <f>'Monev rencana aksi'!P46</f>
        <v>28.75</v>
      </c>
      <c r="I47" s="37">
        <f>'Monev rencana aksi'!U46</f>
        <v>28.75</v>
      </c>
    </row>
    <row r="48" spans="1:9" ht="50.25" customHeight="1">
      <c r="A48" s="170"/>
      <c r="B48" s="55"/>
      <c r="C48" s="37" t="str">
        <f>'Monev rencana aksi'!C47</f>
        <v>Jumlah Tenaga Kerja yang mendapatkan pelatihan kerja</v>
      </c>
      <c r="D48" s="37">
        <f>'Monev rencana aksi'!D47</f>
        <v>9</v>
      </c>
      <c r="E48" s="37" t="str">
        <f>'Monev rencana aksi'!E47</f>
        <v>kegiatan</v>
      </c>
      <c r="F48" s="37">
        <f>'Monev rencana aksi'!F47</f>
        <v>2.25</v>
      </c>
      <c r="G48" s="37">
        <f>'Monev rencana aksi'!K47</f>
        <v>2.25</v>
      </c>
      <c r="H48" s="37">
        <f>'Monev rencana aksi'!P47</f>
        <v>2.25</v>
      </c>
      <c r="I48" s="37">
        <f>'Monev rencana aksi'!U47</f>
        <v>2.25</v>
      </c>
    </row>
    <row r="49" spans="1:9" ht="30.75" customHeight="1">
      <c r="A49" s="169">
        <v>13</v>
      </c>
      <c r="B49" s="44" t="str">
        <f>'Monev rencana aksi'!B48</f>
        <v>Meningkatnya pelayanan Rumah Sakit</v>
      </c>
      <c r="C49" s="44" t="str">
        <f>'Monev rencana aksi'!C48</f>
        <v>Persentase kepuasan pasien</v>
      </c>
      <c r="D49" s="181">
        <f>'Monev rencana aksi'!D48</f>
        <v>90</v>
      </c>
      <c r="E49" s="181" t="str">
        <f>'Monev rencana aksi'!E48</f>
        <v>%</v>
      </c>
      <c r="F49" s="215">
        <f>'Monev rencana aksi'!F48</f>
        <v>28.587499999999999</v>
      </c>
      <c r="G49" s="215">
        <f>'Monev rencana aksi'!K48</f>
        <v>28.587499999999999</v>
      </c>
      <c r="H49" s="215">
        <f>'Monev rencana aksi'!P48</f>
        <v>28.587499999999999</v>
      </c>
      <c r="I49" s="215">
        <f>'Monev rencana aksi'!U48</f>
        <v>28.587499999999999</v>
      </c>
    </row>
    <row r="50" spans="1:9" ht="30.75" customHeight="1">
      <c r="A50" s="170"/>
      <c r="B50" s="55"/>
      <c r="C50" s="44" t="str">
        <f>'Monev rencana aksi'!C49</f>
        <v>Cakupan SPM Kesehatan</v>
      </c>
      <c r="D50" s="181">
        <f>'Monev rencana aksi'!D49</f>
        <v>90</v>
      </c>
      <c r="E50" s="181" t="str">
        <f>'Monev rencana aksi'!E49</f>
        <v>%</v>
      </c>
      <c r="F50" s="215">
        <f>'Monev rencana aksi'!F49</f>
        <v>22.69</v>
      </c>
      <c r="G50" s="215">
        <f>'Monev rencana aksi'!K49</f>
        <v>22.69</v>
      </c>
      <c r="H50" s="215">
        <f>'Monev rencana aksi'!P49</f>
        <v>22.69</v>
      </c>
      <c r="I50" s="215">
        <f>'Monev rencana aksi'!U49</f>
        <v>22.69</v>
      </c>
    </row>
    <row r="51" spans="1:9" ht="30.75" customHeight="1">
      <c r="A51" s="170"/>
      <c r="B51" s="55"/>
      <c r="C51" s="44" t="str">
        <f>'Monev rencana aksi'!C50</f>
        <v>Rumah Sakit lulus akreditasi</v>
      </c>
      <c r="D51" s="181" t="str">
        <f>'Monev rencana aksi'!D50</f>
        <v>Terakreditasi</v>
      </c>
      <c r="E51" s="181" t="str">
        <f>'Monev rencana aksi'!E50</f>
        <v>-</v>
      </c>
      <c r="F51" s="215" t="str">
        <f>'Monev rencana aksi'!F50</f>
        <v>Terakreditasi</v>
      </c>
      <c r="G51" s="215" t="str">
        <f>'Monev rencana aksi'!K50</f>
        <v>Terakreditasi</v>
      </c>
      <c r="H51" s="215" t="str">
        <f>'Monev rencana aksi'!P50</f>
        <v>Terakreditasi</v>
      </c>
      <c r="I51" s="215" t="str">
        <f>'Monev rencana aksi'!U50</f>
        <v>Terakreditasi</v>
      </c>
    </row>
    <row r="52" spans="1:9" ht="30.75" customHeight="1">
      <c r="A52" s="170"/>
      <c r="B52" s="55"/>
      <c r="C52" s="44" t="str">
        <f>'Monev rencana aksi'!C51</f>
        <v>Persentase pasien rawat inap :</v>
      </c>
      <c r="D52" s="181">
        <f>'Monev rencana aksi'!D51</f>
        <v>80</v>
      </c>
      <c r="E52" s="181" t="str">
        <f>'Monev rencana aksi'!E51</f>
        <v>%</v>
      </c>
      <c r="F52" s="216">
        <f>'Monev rencana aksi'!F51</f>
        <v>16.675000000000001</v>
      </c>
      <c r="G52" s="216">
        <f>'Monev rencana aksi'!K51</f>
        <v>16.675000000000001</v>
      </c>
      <c r="H52" s="216">
        <f>'Monev rencana aksi'!P51</f>
        <v>16.675000000000001</v>
      </c>
      <c r="I52" s="216">
        <f>'Monev rencana aksi'!U51</f>
        <v>16.675000000000001</v>
      </c>
    </row>
    <row r="53" spans="1:9" ht="30.75" customHeight="1">
      <c r="A53" s="170"/>
      <c r="B53" s="55"/>
      <c r="C53" s="44" t="str">
        <f>'Monev rencana aksi'!C52</f>
        <v>* BOR</v>
      </c>
      <c r="D53" s="181">
        <f>'Monev rencana aksi'!D52</f>
        <v>80</v>
      </c>
      <c r="E53" s="181" t="str">
        <f>'Monev rencana aksi'!E52</f>
        <v>%</v>
      </c>
      <c r="F53" s="216">
        <f>'Monev rencana aksi'!F52</f>
        <v>19.75</v>
      </c>
      <c r="G53" s="216">
        <f>'Monev rencana aksi'!K52</f>
        <v>19.75</v>
      </c>
      <c r="H53" s="216">
        <f>'Monev rencana aksi'!P52</f>
        <v>19.75</v>
      </c>
      <c r="I53" s="216">
        <f>'Monev rencana aksi'!U52</f>
        <v>19.75</v>
      </c>
    </row>
    <row r="54" spans="1:9" ht="30.75" customHeight="1">
      <c r="A54" s="170"/>
      <c r="B54" s="55"/>
      <c r="C54" s="44" t="str">
        <f>'Monev rencana aksi'!C53</f>
        <v>* Av LOS</v>
      </c>
      <c r="D54" s="181" t="str">
        <f>'Monev rencana aksi'!D53</f>
        <v>6-9 hari</v>
      </c>
      <c r="E54" s="181" t="str">
        <f>'Monev rencana aksi'!E53</f>
        <v>Hari</v>
      </c>
      <c r="F54" s="216">
        <f>'Monev rencana aksi'!F53</f>
        <v>1</v>
      </c>
      <c r="G54" s="216">
        <f>'Monev rencana aksi'!K53</f>
        <v>1</v>
      </c>
      <c r="H54" s="216">
        <f>'Monev rencana aksi'!P53</f>
        <v>2</v>
      </c>
      <c r="I54" s="216">
        <f>'Monev rencana aksi'!U53</f>
        <v>1</v>
      </c>
    </row>
    <row r="55" spans="1:9" ht="30.75" customHeight="1">
      <c r="A55" s="170"/>
      <c r="B55" s="55"/>
      <c r="C55" s="44" t="str">
        <f>'Monev rencana aksi'!C54</f>
        <v>* BTO</v>
      </c>
      <c r="D55" s="181" t="str">
        <f>'Monev rencana aksi'!D54</f>
        <v>40-50</v>
      </c>
      <c r="E55" s="181" t="str">
        <f>'Monev rencana aksi'!E54</f>
        <v>Kali</v>
      </c>
      <c r="F55" s="216">
        <f>'Monev rencana aksi'!F54</f>
        <v>12.75</v>
      </c>
      <c r="G55" s="216">
        <f>'Monev rencana aksi'!K54</f>
        <v>12.75</v>
      </c>
      <c r="H55" s="216">
        <f>'Monev rencana aksi'!P54</f>
        <v>12.75</v>
      </c>
      <c r="I55" s="216">
        <f>'Monev rencana aksi'!U54</f>
        <v>12.75</v>
      </c>
    </row>
    <row r="56" spans="1:9" ht="30.75" customHeight="1">
      <c r="A56" s="170"/>
      <c r="B56" s="55"/>
      <c r="C56" s="44" t="str">
        <f>'Monev rencana aksi'!C55</f>
        <v>* TOI</v>
      </c>
      <c r="D56" s="181" t="str">
        <f>'Monev rencana aksi'!D55</f>
        <v>1-3 hari</v>
      </c>
      <c r="E56" s="181" t="str">
        <f>'Monev rencana aksi'!E55</f>
        <v>Hari</v>
      </c>
      <c r="F56" s="216">
        <f>'Monev rencana aksi'!F55</f>
        <v>0</v>
      </c>
      <c r="G56" s="216">
        <f>'Monev rencana aksi'!K55</f>
        <v>0</v>
      </c>
      <c r="H56" s="216">
        <f>'Monev rencana aksi'!P55</f>
        <v>0</v>
      </c>
      <c r="I56" s="216">
        <f>'Monev rencana aksi'!U55</f>
        <v>1</v>
      </c>
    </row>
    <row r="57" spans="1:9" ht="30.75" customHeight="1">
      <c r="A57" s="170"/>
      <c r="B57" s="55"/>
      <c r="C57" s="44" t="str">
        <f>'Monev rencana aksi'!C56</f>
        <v>* NDR</v>
      </c>
      <c r="D57" s="181">
        <f>'Monev rencana aksi'!D56</f>
        <v>15</v>
      </c>
      <c r="E57" s="181" t="str">
        <f>'Monev rencana aksi'!E56</f>
        <v>%</v>
      </c>
      <c r="F57" s="216">
        <f>'Monev rencana aksi'!F56</f>
        <v>5.25</v>
      </c>
      <c r="G57" s="216">
        <f>'Monev rencana aksi'!K56</f>
        <v>5.25</v>
      </c>
      <c r="H57" s="216">
        <f>'Monev rencana aksi'!P56</f>
        <v>5.25</v>
      </c>
      <c r="I57" s="216">
        <f>'Monev rencana aksi'!U56</f>
        <v>5.25</v>
      </c>
    </row>
    <row r="58" spans="1:9" ht="30.75" customHeight="1">
      <c r="A58" s="170"/>
      <c r="B58" s="55"/>
      <c r="C58" s="44" t="str">
        <f>'Monev rencana aksi'!C57</f>
        <v>* GDR</v>
      </c>
      <c r="D58" s="181">
        <f>'Monev rencana aksi'!D57</f>
        <v>30</v>
      </c>
      <c r="E58" s="181" t="str">
        <f>'Monev rencana aksi'!E57</f>
        <v>%</v>
      </c>
      <c r="F58" s="216">
        <f>'Monev rencana aksi'!F57</f>
        <v>10.25</v>
      </c>
      <c r="G58" s="216">
        <f>'Monev rencana aksi'!K57</f>
        <v>10.25</v>
      </c>
      <c r="H58" s="216">
        <f>'Monev rencana aksi'!P57</f>
        <v>10.25</v>
      </c>
      <c r="I58" s="216">
        <f>'Monev rencana aksi'!U57</f>
        <v>10.25</v>
      </c>
    </row>
    <row r="59" spans="1:9" ht="30.75" customHeight="1">
      <c r="A59" s="170"/>
      <c r="B59" s="55"/>
      <c r="C59" s="44" t="str">
        <f>'Monev rencana aksi'!C58</f>
        <v>Jumlah kjngan RITL</v>
      </c>
      <c r="D59" s="181">
        <f>'Monev rencana aksi'!D58</f>
        <v>7743</v>
      </c>
      <c r="E59" s="181" t="str">
        <f>'Monev rencana aksi'!E58</f>
        <v>pasien</v>
      </c>
      <c r="F59" s="216">
        <f>'Monev rencana aksi'!F58</f>
        <v>2227</v>
      </c>
      <c r="G59" s="216">
        <f>'Monev rencana aksi'!K58</f>
        <v>2227</v>
      </c>
      <c r="H59" s="216">
        <f>'Monev rencana aksi'!P58</f>
        <v>2227</v>
      </c>
      <c r="I59" s="216">
        <f>'Monev rencana aksi'!U58</f>
        <v>2227</v>
      </c>
    </row>
    <row r="60" spans="1:9" ht="30.75" customHeight="1">
      <c r="A60" s="170"/>
      <c r="B60" s="55"/>
      <c r="C60" s="44" t="str">
        <f>'Monev rencana aksi'!C59</f>
        <v>Jumlah kunjungan RJTL</v>
      </c>
      <c r="D60" s="181">
        <f>'Monev rencana aksi'!D59</f>
        <v>24566</v>
      </c>
      <c r="E60" s="181" t="str">
        <f>'Monev rencana aksi'!E59</f>
        <v>Pasien</v>
      </c>
      <c r="F60" s="216">
        <f>'Monev rencana aksi'!F59</f>
        <v>9483.25</v>
      </c>
      <c r="G60" s="216">
        <f>'Monev rencana aksi'!K59</f>
        <v>9483.25</v>
      </c>
      <c r="H60" s="216">
        <f>'Monev rencana aksi'!P59</f>
        <v>9483.25</v>
      </c>
      <c r="I60" s="216">
        <f>'Monev rencana aksi'!U59</f>
        <v>9483.25</v>
      </c>
    </row>
    <row r="61" spans="1:9" ht="63.75" customHeight="1">
      <c r="A61" s="170"/>
      <c r="B61" s="55"/>
      <c r="C61" s="44" t="str">
        <f>'Monev rencana aksi'!C60</f>
        <v>Persentase tenaga yang mendapat pelatihan minimal 20 jam (SPM RS)</v>
      </c>
      <c r="D61" s="181">
        <f>'Monev rencana aksi'!D60</f>
        <v>60</v>
      </c>
      <c r="E61" s="181" t="str">
        <f>'Monev rencana aksi'!E60</f>
        <v>%</v>
      </c>
      <c r="F61" s="216">
        <f>'Monev rencana aksi'!F60</f>
        <v>0</v>
      </c>
      <c r="G61" s="216">
        <f>'Monev rencana aksi'!K60</f>
        <v>0</v>
      </c>
      <c r="H61" s="216">
        <f>'Monev rencana aksi'!P60</f>
        <v>2.8</v>
      </c>
      <c r="I61" s="216">
        <f>'Monev rencana aksi'!U60</f>
        <v>0</v>
      </c>
    </row>
    <row r="62" spans="1:9" ht="47.25" customHeight="1">
      <c r="A62" s="169">
        <v>14</v>
      </c>
      <c r="B62" s="44" t="str">
        <f>'Monev rencana aksi'!B61</f>
        <v xml:space="preserve">Meningkatnya kualitas penanganan penyakit dan jaminan kesehatan masyarakat </v>
      </c>
      <c r="C62" s="44" t="str">
        <f>'Monev rencana aksi'!C61</f>
        <v>Jumlah Kunjungan Pasien Rawat Jalan</v>
      </c>
      <c r="D62" s="181">
        <f>'Monev rencana aksi'!D61</f>
        <v>85</v>
      </c>
      <c r="E62" s="181" t="str">
        <f>'Monev rencana aksi'!E61</f>
        <v>%</v>
      </c>
      <c r="F62" s="216">
        <f>'Monev rencana aksi'!F61</f>
        <v>22.5</v>
      </c>
      <c r="G62" s="216">
        <f>'Monev rencana aksi'!K61</f>
        <v>22.5</v>
      </c>
      <c r="H62" s="216">
        <f>'Monev rencana aksi'!P61</f>
        <v>22.5</v>
      </c>
      <c r="I62" s="216">
        <f>'Monev rencana aksi'!U61</f>
        <v>22.5</v>
      </c>
    </row>
    <row r="63" spans="1:9" ht="30.75" customHeight="1">
      <c r="A63" s="170"/>
      <c r="B63" s="55"/>
      <c r="C63" s="44" t="str">
        <f>'Monev rencana aksi'!C62</f>
        <v>Pelayanan kesehatan dasar dan pengembangan puskesmas</v>
      </c>
      <c r="D63" s="181">
        <f>'Monev rencana aksi'!D62</f>
        <v>3</v>
      </c>
      <c r="E63" s="181" t="str">
        <f>'Monev rencana aksi'!E62</f>
        <v>%</v>
      </c>
      <c r="F63" s="216">
        <f>'Monev rencana aksi'!F62</f>
        <v>0</v>
      </c>
      <c r="G63" s="216">
        <f>'Monev rencana aksi'!K62</f>
        <v>1</v>
      </c>
      <c r="H63" s="216">
        <f>'Monev rencana aksi'!P62</f>
        <v>1</v>
      </c>
      <c r="I63" s="216">
        <f>'Monev rencana aksi'!U62</f>
        <v>1</v>
      </c>
    </row>
    <row r="64" spans="1:9" ht="30.75" customHeight="1">
      <c r="A64" s="169">
        <v>15</v>
      </c>
      <c r="B64" s="44" t="str">
        <f>'Monev rencana aksi'!B63</f>
        <v>Meningkatnya kualitas pelayanan kesehatan Ibu, Anak dan Gizi</v>
      </c>
      <c r="C64" s="44" t="str">
        <f>'Monev rencana aksi'!C63</f>
        <v>Pemantauan Status Gizi</v>
      </c>
      <c r="D64" s="181">
        <f>'Monev rencana aksi'!D63</f>
        <v>100</v>
      </c>
      <c r="E64" s="181" t="str">
        <f>'Monev rencana aksi'!E63</f>
        <v>%</v>
      </c>
      <c r="F64" s="216">
        <f>'Monev rencana aksi'!F63</f>
        <v>25</v>
      </c>
      <c r="G64" s="216">
        <f>'Monev rencana aksi'!K63</f>
        <v>25</v>
      </c>
      <c r="H64" s="216">
        <f>'Monev rencana aksi'!P63</f>
        <v>25</v>
      </c>
      <c r="I64" s="216">
        <f>'Monev rencana aksi'!U63</f>
        <v>25</v>
      </c>
    </row>
    <row r="65" spans="1:9" ht="30.75" customHeight="1">
      <c r="A65" s="170"/>
      <c r="B65" s="55"/>
      <c r="C65" s="44" t="str">
        <f>'Monev rencana aksi'!C64</f>
        <v>Cakupan balita gizi buruk yang mendapatkan perawatan</v>
      </c>
      <c r="D65" s="181">
        <f>'Monev rencana aksi'!D64</f>
        <v>1</v>
      </c>
      <c r="E65" s="181" t="str">
        <f>'Monev rencana aksi'!E64</f>
        <v>kasus</v>
      </c>
      <c r="F65" s="216">
        <f>'Monev rencana aksi'!F64</f>
        <v>0.25</v>
      </c>
      <c r="G65" s="216">
        <f>'Monev rencana aksi'!K64</f>
        <v>0.25</v>
      </c>
      <c r="H65" s="216">
        <f>'Monev rencana aksi'!P64</f>
        <v>1</v>
      </c>
      <c r="I65" s="216">
        <f>'Monev rencana aksi'!U64</f>
        <v>0.25</v>
      </c>
    </row>
    <row r="66" spans="1:9" ht="60" customHeight="1">
      <c r="A66" s="169">
        <v>16</v>
      </c>
      <c r="B66" s="44" t="str">
        <f>'Monev rencana aksi'!B65</f>
        <v>Meningkatnya pola hidup sehat, keberdayaan masyarakat dalam masalah kesehatan dan kesling</v>
      </c>
      <c r="C66" s="44" t="str">
        <f>'Monev rencana aksi'!C65</f>
        <v>Persentase penduduk yang menggunakan air minum layak dan berkelanjutan</v>
      </c>
      <c r="D66" s="181">
        <f>'Monev rencana aksi'!D65</f>
        <v>100</v>
      </c>
      <c r="E66" s="181" t="str">
        <f>'Monev rencana aksi'!E65</f>
        <v>%</v>
      </c>
      <c r="F66" s="216">
        <f>'Monev rencana aksi'!F65</f>
        <v>24.5425</v>
      </c>
      <c r="G66" s="216">
        <f>'Monev rencana aksi'!K65</f>
        <v>24.5425</v>
      </c>
      <c r="H66" s="216">
        <f>'Monev rencana aksi'!P65</f>
        <v>24.5425</v>
      </c>
      <c r="I66" s="216">
        <f>'Monev rencana aksi'!U65</f>
        <v>24.5425</v>
      </c>
    </row>
    <row r="67" spans="1:9" ht="30.75" customHeight="1">
      <c r="A67" s="170"/>
      <c r="B67" s="55"/>
      <c r="C67" s="44" t="str">
        <f>'Monev rencana aksi'!C66</f>
        <v>Persentase terjaminnya keamanan makanan</v>
      </c>
      <c r="D67" s="181">
        <f>'Monev rencana aksi'!D66</f>
        <v>100</v>
      </c>
      <c r="E67" s="181" t="str">
        <f>'Monev rencana aksi'!E66</f>
        <v>%</v>
      </c>
      <c r="F67" s="216">
        <f>'Monev rencana aksi'!F66</f>
        <v>25</v>
      </c>
      <c r="G67" s="216">
        <f>'Monev rencana aksi'!K66</f>
        <v>25</v>
      </c>
      <c r="H67" s="216">
        <f>'Monev rencana aksi'!P66</f>
        <v>25</v>
      </c>
      <c r="I67" s="216">
        <f>'Monev rencana aksi'!U66</f>
        <v>25</v>
      </c>
    </row>
    <row r="68" spans="1:9" ht="52.5" customHeight="1">
      <c r="A68" s="169">
        <v>17</v>
      </c>
      <c r="B68" s="44" t="str">
        <f>'Monev rencana aksi'!B67</f>
        <v>Meningkatnya akses dan mutu penyelenggaraan wajib belajar 12 tahun</v>
      </c>
      <c r="C68" s="44" t="str">
        <f>'Monev rencana aksi'!C67</f>
        <v>Guru berkualifikasi S1/D.IV di semua jenjang pendidikan</v>
      </c>
      <c r="D68" s="44">
        <f>'Monev rencana aksi'!D67</f>
        <v>94.5</v>
      </c>
      <c r="E68" s="44" t="str">
        <f>'Monev rencana aksi'!E67</f>
        <v>%</v>
      </c>
      <c r="F68" s="216">
        <f>'Monev rencana aksi'!F67</f>
        <v>23.625</v>
      </c>
      <c r="G68" s="216">
        <f>'Monev rencana aksi'!K67</f>
        <v>23.625</v>
      </c>
      <c r="H68" s="216">
        <f>'Monev rencana aksi'!P67</f>
        <v>23.625</v>
      </c>
      <c r="I68" s="216">
        <f>'Monev rencana aksi'!U67</f>
        <v>23.625</v>
      </c>
    </row>
    <row r="69" spans="1:9" ht="45" customHeight="1">
      <c r="A69" s="171"/>
      <c r="B69" s="49"/>
      <c r="C69" s="44" t="str">
        <f>'Monev rencana aksi'!C68</f>
        <v>Guru bersertifikasi di semua jenjang pendidikan</v>
      </c>
      <c r="D69" s="44">
        <f>'Monev rencana aksi'!D68</f>
        <v>51</v>
      </c>
      <c r="E69" s="44" t="str">
        <f>'Monev rencana aksi'!E68</f>
        <v>%</v>
      </c>
      <c r="F69" s="216">
        <f>'Monev rencana aksi'!F68</f>
        <v>12.75</v>
      </c>
      <c r="G69" s="216">
        <f>'Monev rencana aksi'!K68</f>
        <v>12.75</v>
      </c>
      <c r="H69" s="216">
        <f>'Monev rencana aksi'!P68</f>
        <v>12.75</v>
      </c>
      <c r="I69" s="216">
        <f>'Monev rencana aksi'!U68</f>
        <v>12.75</v>
      </c>
    </row>
    <row r="70" spans="1:9" ht="151.5" customHeight="1">
      <c r="A70" s="118">
        <v>18</v>
      </c>
      <c r="B70" s="44" t="str">
        <f>'Monev rencana aksi'!B69</f>
        <v>Berkembang nya Pendidikan Tinggi</v>
      </c>
      <c r="C70" s="44" t="str">
        <f>'Monev rencana aksi'!C69</f>
        <v>Ketersediaan Sarana dan Prasarana Perkuliahan yang berkwalitas dan memadai serta kwalifikasi/kwalitas tenaga pendidik (Dosen) dan kependidikan yang berkompetensi</v>
      </c>
      <c r="D70" s="44">
        <f>'Monev rencana aksi'!D69</f>
        <v>70</v>
      </c>
      <c r="E70" s="44" t="str">
        <f>'Monev rencana aksi'!E69</f>
        <v>%</v>
      </c>
      <c r="F70" s="216">
        <f>'Monev rencana aksi'!F69</f>
        <v>19</v>
      </c>
      <c r="G70" s="216">
        <f>'Monev rencana aksi'!K69</f>
        <v>19</v>
      </c>
      <c r="H70" s="216">
        <f>'Monev rencana aksi'!P69</f>
        <v>19</v>
      </c>
      <c r="I70" s="216">
        <f>'Monev rencana aksi'!U69</f>
        <v>19</v>
      </c>
    </row>
    <row r="71" spans="1:9" ht="94.5" customHeight="1">
      <c r="A71" s="118">
        <v>19</v>
      </c>
      <c r="B71" s="44" t="str">
        <f>'Monev rencana aksi'!B70</f>
        <v>Meningkatnya kualitas pelaksanaan nilai-nilai ajaran agama dalam masyarakat</v>
      </c>
      <c r="C71" s="44" t="str">
        <f>'Monev rencana aksi'!C70</f>
        <v>Persentase Kesejahteraan Imam, Petugas Syara, Guru TPA, Muballigh,Tassbeh dan KIPRA</v>
      </c>
      <c r="D71" s="44">
        <f>'Monev rencana aksi'!D70</f>
        <v>100</v>
      </c>
      <c r="E71" s="44" t="str">
        <f>'Monev rencana aksi'!E70</f>
        <v>%</v>
      </c>
      <c r="F71" s="216">
        <f>'Monev rencana aksi'!F70</f>
        <v>10.25</v>
      </c>
      <c r="G71" s="216">
        <f>'Monev rencana aksi'!K70</f>
        <v>10.25</v>
      </c>
      <c r="H71" s="216">
        <f>'Monev rencana aksi'!P70</f>
        <v>10.25</v>
      </c>
      <c r="I71" s="216">
        <f>'Monev rencana aksi'!U70</f>
        <v>10.25</v>
      </c>
    </row>
    <row r="72" spans="1:9" ht="46.5" customHeight="1">
      <c r="A72" s="169">
        <v>20</v>
      </c>
      <c r="B72" s="234" t="str">
        <f>'Monev rencana aksi'!B71</f>
        <v>Meningkatnya kapasitas dan kualitas daya dukung jalan dan    jembatan terhadap wilayah  sentra produksi pertanian  dan kawasan  cepat tumbuh</v>
      </c>
      <c r="C72" s="44" t="str">
        <f>'Monev rencana aksi'!C71</f>
        <v>Proporsi panjang jaringan jalan dalam kondisi baik</v>
      </c>
      <c r="D72" s="44">
        <f>'Monev rencana aksi'!D71</f>
        <v>90.93</v>
      </c>
      <c r="E72" s="44" t="str">
        <f>'Monev rencana aksi'!E71</f>
        <v>%</v>
      </c>
      <c r="F72" s="216">
        <f>'Monev rencana aksi'!F71</f>
        <v>22.732500000000002</v>
      </c>
      <c r="G72" s="216">
        <f>'Monev rencana aksi'!K71</f>
        <v>22.732500000000002</v>
      </c>
      <c r="H72" s="216">
        <f>'Monev rencana aksi'!P71</f>
        <v>22.732500000000002</v>
      </c>
      <c r="I72" s="216">
        <f>'Monev rencana aksi'!U71</f>
        <v>22.732500000000002</v>
      </c>
    </row>
    <row r="73" spans="1:9" ht="60" customHeight="1">
      <c r="A73" s="170"/>
      <c r="B73" s="235"/>
      <c r="C73" s="44" t="str">
        <f>'Monev rencana aksi'!C72</f>
        <v>Terlaksanya pembangunan  Drainase/ Gorong- Gorong</v>
      </c>
      <c r="D73" s="44">
        <f>'Monev rencana aksi'!D72</f>
        <v>98.19</v>
      </c>
      <c r="E73" s="44" t="str">
        <f>'Monev rencana aksi'!E72</f>
        <v>%</v>
      </c>
      <c r="F73" s="216">
        <f>'Monev rencana aksi'!F72</f>
        <v>24.547499999999999</v>
      </c>
      <c r="G73" s="216">
        <f>'Monev rencana aksi'!K72</f>
        <v>24.547499999999999</v>
      </c>
      <c r="H73" s="216">
        <f>'Monev rencana aksi'!P72</f>
        <v>24.547499999999999</v>
      </c>
      <c r="I73" s="216">
        <f>'Monev rencana aksi'!U72</f>
        <v>24.547499999999999</v>
      </c>
    </row>
    <row r="74" spans="1:9" ht="48.75" customHeight="1">
      <c r="A74" s="170"/>
      <c r="B74" s="55"/>
      <c r="C74" s="44" t="str">
        <f>'Monev rencana aksi'!C73</f>
        <v>Terbangunnya Talud untuk memperkuat Infrastruktur jalan</v>
      </c>
      <c r="D74" s="44">
        <f>'Monev rencana aksi'!D73</f>
        <v>31.48</v>
      </c>
      <c r="E74" s="44" t="str">
        <f>'Monev rencana aksi'!E73</f>
        <v>%</v>
      </c>
      <c r="F74" s="216">
        <f>'Monev rencana aksi'!F73</f>
        <v>7.87</v>
      </c>
      <c r="G74" s="216">
        <f>'Monev rencana aksi'!K73</f>
        <v>7.87</v>
      </c>
      <c r="H74" s="216">
        <f>'Monev rencana aksi'!P73</f>
        <v>7.87</v>
      </c>
      <c r="I74" s="216">
        <f>'Monev rencana aksi'!U73</f>
        <v>7.87</v>
      </c>
    </row>
    <row r="75" spans="1:9" ht="30.75" customHeight="1">
      <c r="A75" s="170"/>
      <c r="B75" s="55"/>
      <c r="C75" s="44" t="str">
        <f>'Monev rencana aksi'!C74</f>
        <v>Terpeliharanya  Jalan Dan Jembatan</v>
      </c>
      <c r="D75" s="44">
        <f>'Monev rencana aksi'!D74</f>
        <v>16.5</v>
      </c>
      <c r="E75" s="44" t="str">
        <f>'Monev rencana aksi'!E74</f>
        <v>%</v>
      </c>
      <c r="F75" s="216">
        <f>'Monev rencana aksi'!F74</f>
        <v>4.125</v>
      </c>
      <c r="G75" s="216">
        <f>'Monev rencana aksi'!K74</f>
        <v>4.125</v>
      </c>
      <c r="H75" s="216">
        <f>'Monev rencana aksi'!P74</f>
        <v>4.125</v>
      </c>
      <c r="I75" s="216">
        <f>'Monev rencana aksi'!U74</f>
        <v>4.125</v>
      </c>
    </row>
    <row r="76" spans="1:9" ht="77.25" customHeight="1">
      <c r="A76" s="170"/>
      <c r="B76" s="55"/>
      <c r="C76" s="44" t="str">
        <f>'Monev rencana aksi'!C75</f>
        <v>Terbangunnya Infrastruktur Jalan di wilayah Strategis Khususnya di Perdesaan</v>
      </c>
      <c r="D76" s="44">
        <f>'Monev rencana aksi'!D75</f>
        <v>35</v>
      </c>
      <c r="E76" s="44" t="str">
        <f>'Monev rencana aksi'!E75</f>
        <v>%</v>
      </c>
      <c r="F76" s="216">
        <f>'Monev rencana aksi'!F75</f>
        <v>8.75</v>
      </c>
      <c r="G76" s="216">
        <f>'Monev rencana aksi'!K75</f>
        <v>8.75</v>
      </c>
      <c r="H76" s="216">
        <f>'Monev rencana aksi'!P75</f>
        <v>8.75</v>
      </c>
      <c r="I76" s="216">
        <f>'Monev rencana aksi'!U75</f>
        <v>8.75</v>
      </c>
    </row>
    <row r="77" spans="1:9" ht="63" customHeight="1">
      <c r="A77" s="169">
        <v>21</v>
      </c>
      <c r="B77" s="44" t="str">
        <f>'Monev rencana aksi'!B76</f>
        <v>Meningkatnya ketersediaan infrastruktur permukiman, sanitasi dan air bersih yang berkualitas</v>
      </c>
      <c r="C77" s="44" t="str">
        <f>'Monev rencana aksi'!C76</f>
        <v xml:space="preserve">Jumlah Dokumen Perencanaan </v>
      </c>
      <c r="D77" s="44">
        <f>'Monev rencana aksi'!D76</f>
        <v>2</v>
      </c>
      <c r="E77" s="44" t="str">
        <f>'Monev rencana aksi'!E76</f>
        <v>Dokumen</v>
      </c>
      <c r="F77" s="216">
        <f>'Monev rencana aksi'!F76</f>
        <v>0</v>
      </c>
      <c r="G77" s="216">
        <f>'Monev rencana aksi'!K76</f>
        <v>0</v>
      </c>
      <c r="H77" s="216">
        <f>'Monev rencana aksi'!P76</f>
        <v>1</v>
      </c>
      <c r="I77" s="216">
        <f>'Monev rencana aksi'!U76</f>
        <v>1</v>
      </c>
    </row>
    <row r="78" spans="1:9" ht="37.5" customHeight="1">
      <c r="A78" s="170"/>
      <c r="B78" s="55"/>
      <c r="C78" s="44" t="str">
        <f>'Monev rencana aksi'!C77</f>
        <v>Persentase Rumah Tangga bersanitasi</v>
      </c>
      <c r="D78" s="44">
        <f>'Monev rencana aksi'!D77</f>
        <v>88.4</v>
      </c>
      <c r="E78" s="44" t="str">
        <f>'Monev rencana aksi'!E77</f>
        <v>%</v>
      </c>
      <c r="F78" s="216">
        <f>'Monev rencana aksi'!F77</f>
        <v>22.1</v>
      </c>
      <c r="G78" s="216">
        <f>'Monev rencana aksi'!K77</f>
        <v>22.1</v>
      </c>
      <c r="H78" s="216">
        <f>'Monev rencana aksi'!P77</f>
        <v>22.1</v>
      </c>
      <c r="I78" s="216">
        <f>'Monev rencana aksi'!U77</f>
        <v>22.1</v>
      </c>
    </row>
    <row r="79" spans="1:9" ht="30" customHeight="1">
      <c r="A79" s="170"/>
      <c r="B79" s="55"/>
      <c r="C79" s="44" t="str">
        <f>'Monev rencana aksi'!C78</f>
        <v>Ratio rumah layak huni yang dibangun</v>
      </c>
      <c r="D79" s="44">
        <f>'Monev rencana aksi'!D78</f>
        <v>36.630000000000003</v>
      </c>
      <c r="E79" s="44" t="str">
        <f>'Monev rencana aksi'!E78</f>
        <v>%</v>
      </c>
      <c r="F79" s="216">
        <f>'Monev rencana aksi'!F78</f>
        <v>9.1575000000000006</v>
      </c>
      <c r="G79" s="216">
        <f>'Monev rencana aksi'!K78</f>
        <v>9.1575000000000006</v>
      </c>
      <c r="H79" s="216">
        <f>'Monev rencana aksi'!P78</f>
        <v>9.1575000000000006</v>
      </c>
      <c r="I79" s="216">
        <f>'Monev rencana aksi'!U78</f>
        <v>9.1575000000000006</v>
      </c>
    </row>
    <row r="80" spans="1:9" ht="30.75" customHeight="1">
      <c r="A80" s="170"/>
      <c r="B80" s="55"/>
      <c r="C80" s="44" t="str">
        <f>'Monev rencana aksi'!C79</f>
        <v>Cakupan Layanan Air Minum Perdesaan</v>
      </c>
      <c r="D80" s="44">
        <f>'Monev rencana aksi'!D79</f>
        <v>82.9</v>
      </c>
      <c r="E80" s="44" t="str">
        <f>'Monev rencana aksi'!E79</f>
        <v>%</v>
      </c>
      <c r="F80" s="216">
        <f>'Monev rencana aksi'!F79</f>
        <v>20.725000000000001</v>
      </c>
      <c r="G80" s="216">
        <f>'Monev rencana aksi'!K79</f>
        <v>20.725000000000001</v>
      </c>
      <c r="H80" s="216">
        <f>'Monev rencana aksi'!P79</f>
        <v>20.725000000000001</v>
      </c>
      <c r="I80" s="216">
        <f>'Monev rencana aksi'!U79</f>
        <v>20.725000000000001</v>
      </c>
    </row>
    <row r="81" spans="1:9" ht="31.5" customHeight="1">
      <c r="A81" s="170"/>
      <c r="B81" s="55"/>
      <c r="C81" s="44" t="str">
        <f>'Monev rencana aksi'!C80</f>
        <v>Luas Kawasan Kumuh Perkotaan</v>
      </c>
      <c r="D81" s="44">
        <f>'Monev rencana aksi'!D80</f>
        <v>1.96</v>
      </c>
      <c r="E81" s="44" t="str">
        <f>'Monev rencana aksi'!E80</f>
        <v>Ha</v>
      </c>
      <c r="F81" s="216">
        <f>'Monev rencana aksi'!F80</f>
        <v>0.49</v>
      </c>
      <c r="G81" s="216">
        <f>'Monev rencana aksi'!K80</f>
        <v>0.49</v>
      </c>
      <c r="H81" s="216">
        <f>'Monev rencana aksi'!P80</f>
        <v>0.49</v>
      </c>
      <c r="I81" s="216">
        <f>'Monev rencana aksi'!U80</f>
        <v>0.49</v>
      </c>
    </row>
    <row r="82" spans="1:9" ht="48" customHeight="1">
      <c r="A82" s="170"/>
      <c r="B82" s="55"/>
      <c r="C82" s="44" t="str">
        <f>'Monev rencana aksi'!C81</f>
        <v>Meningkatnya nilai asset Pemerintah Daerah</v>
      </c>
      <c r="D82" s="44">
        <f>'Monev rencana aksi'!D81</f>
        <v>8</v>
      </c>
      <c r="E82" s="44" t="str">
        <f>'Monev rencana aksi'!E81</f>
        <v>Lokasi</v>
      </c>
      <c r="F82" s="216">
        <f>'Monev rencana aksi'!F81</f>
        <v>2</v>
      </c>
      <c r="G82" s="216">
        <f>'Monev rencana aksi'!K81</f>
        <v>2</v>
      </c>
      <c r="H82" s="216">
        <f>'Monev rencana aksi'!P81</f>
        <v>2</v>
      </c>
      <c r="I82" s="216">
        <f>'Monev rencana aksi'!U81</f>
        <v>2</v>
      </c>
    </row>
    <row r="83" spans="1:9" ht="78" customHeight="1">
      <c r="A83" s="170"/>
      <c r="B83" s="55"/>
      <c r="C83" s="44" t="str">
        <f>'Monev rencana aksi'!C82</f>
        <v>Meningkatnya pengendalian pencemaran pada media air, tanah, dan udara</v>
      </c>
      <c r="D83" s="44">
        <f>'Monev rencana aksi'!D82</f>
        <v>8</v>
      </c>
      <c r="E83" s="44" t="str">
        <f>'Monev rencana aksi'!E82</f>
        <v>Sungai/ Danau</v>
      </c>
      <c r="F83" s="216">
        <f>'Monev rencana aksi'!F82</f>
        <v>2</v>
      </c>
      <c r="G83" s="216">
        <f>'Monev rencana aksi'!K82</f>
        <v>2</v>
      </c>
      <c r="H83" s="216">
        <f>'Monev rencana aksi'!P82</f>
        <v>2</v>
      </c>
      <c r="I83" s="216">
        <f>'Monev rencana aksi'!U82</f>
        <v>2</v>
      </c>
    </row>
    <row r="84" spans="1:9" ht="63" customHeight="1">
      <c r="A84" s="170"/>
      <c r="B84" s="55"/>
      <c r="C84" s="44" t="str">
        <f>'Monev rencana aksi'!C83</f>
        <v>Tersedianya sarana dan prasarana pengelolaan persampahan</v>
      </c>
      <c r="D84" s="44">
        <f>'Monev rencana aksi'!D83</f>
        <v>1</v>
      </c>
      <c r="E84" s="44" t="str">
        <f>'Monev rencana aksi'!E83</f>
        <v>Unit</v>
      </c>
      <c r="F84" s="216">
        <f>'Monev rencana aksi'!F83</f>
        <v>0.25</v>
      </c>
      <c r="G84" s="216">
        <f>'Monev rencana aksi'!K83</f>
        <v>0.25</v>
      </c>
      <c r="H84" s="216">
        <f>'Monev rencana aksi'!P83</f>
        <v>0.25</v>
      </c>
      <c r="I84" s="216">
        <f>'Monev rencana aksi'!U83</f>
        <v>0.25</v>
      </c>
    </row>
    <row r="85" spans="1:9" ht="50.25" customHeight="1">
      <c r="A85" s="170"/>
      <c r="B85" s="55"/>
      <c r="C85" s="44" t="str">
        <f>'Monev rencana aksi'!C84</f>
        <v>Terpenuhinya Ruang terbuka hijau yang teduh, sejuk dan indah</v>
      </c>
      <c r="D85" s="44">
        <f>'Monev rencana aksi'!D84</f>
        <v>12.75</v>
      </c>
      <c r="E85" s="44" t="str">
        <f>'Monev rencana aksi'!E84</f>
        <v>%</v>
      </c>
      <c r="F85" s="216">
        <f>'Monev rencana aksi'!F84</f>
        <v>3.1875</v>
      </c>
      <c r="G85" s="216">
        <f>'Monev rencana aksi'!K84</f>
        <v>3.1875</v>
      </c>
      <c r="H85" s="216">
        <f>'Monev rencana aksi'!P84</f>
        <v>3.1875</v>
      </c>
      <c r="I85" s="216">
        <f>'Monev rencana aksi'!U84</f>
        <v>3.1875</v>
      </c>
    </row>
    <row r="86" spans="1:9" ht="46.5" customHeight="1">
      <c r="A86" s="169">
        <v>22</v>
      </c>
      <c r="B86" s="44" t="str">
        <f>'Monev rencana aksi'!B85</f>
        <v>Meningkatnya kualitas dan cakupan layanan daerah irigasi serta pemanfaatan air tanah</v>
      </c>
      <c r="C86" s="44" t="str">
        <f>'Monev rencana aksi'!C85</f>
        <v>Rasio jaringan irigasi</v>
      </c>
      <c r="D86" s="44">
        <f>'Monev rencana aksi'!D85</f>
        <v>3.4</v>
      </c>
      <c r="E86" s="44" t="str">
        <f>'Monev rencana aksi'!E85</f>
        <v>%</v>
      </c>
      <c r="F86" s="216">
        <f>'Monev rencana aksi'!F85</f>
        <v>0.85</v>
      </c>
      <c r="G86" s="216">
        <f>'Monev rencana aksi'!K85</f>
        <v>0.85</v>
      </c>
      <c r="H86" s="216">
        <f>'Monev rencana aksi'!P85</f>
        <v>0.85</v>
      </c>
      <c r="I86" s="216">
        <f>'Monev rencana aksi'!U85</f>
        <v>0.85</v>
      </c>
    </row>
    <row r="87" spans="1:9" ht="30.75" customHeight="1">
      <c r="A87" s="170"/>
      <c r="B87" s="55"/>
      <c r="C87" s="44" t="str">
        <f>'Monev rencana aksi'!C86</f>
        <v>Jumlah Daerah Irigasi</v>
      </c>
      <c r="D87" s="44">
        <f>'Monev rencana aksi'!D86</f>
        <v>4</v>
      </c>
      <c r="E87" s="44" t="str">
        <f>'Monev rencana aksi'!E86</f>
        <v>Jml DI</v>
      </c>
      <c r="F87" s="216">
        <f>'Monev rencana aksi'!F86</f>
        <v>1</v>
      </c>
      <c r="G87" s="216">
        <f>'Monev rencana aksi'!K86</f>
        <v>1</v>
      </c>
      <c r="H87" s="216">
        <f>'Monev rencana aksi'!P86</f>
        <v>1</v>
      </c>
      <c r="I87" s="216">
        <f>'Monev rencana aksi'!U86</f>
        <v>1</v>
      </c>
    </row>
    <row r="88" spans="1:9" ht="30.75" customHeight="1">
      <c r="A88" s="170"/>
      <c r="B88" s="55"/>
      <c r="C88" s="44" t="str">
        <f>'Monev rencana aksi'!C87</f>
        <v>Cakupan luas layanan areal irigasi yang dialiri</v>
      </c>
      <c r="D88" s="44">
        <f>'Monev rencana aksi'!D87</f>
        <v>12867</v>
      </c>
      <c r="E88" s="44" t="str">
        <f>'Monev rencana aksi'!E87</f>
        <v>Ha</v>
      </c>
      <c r="F88" s="216">
        <f>'Monev rencana aksi'!F87</f>
        <v>2500</v>
      </c>
      <c r="G88" s="216">
        <f>'Monev rencana aksi'!K87</f>
        <v>2500</v>
      </c>
      <c r="H88" s="216">
        <f>'Monev rencana aksi'!P87</f>
        <v>2500</v>
      </c>
      <c r="I88" s="216">
        <f>'Monev rencana aksi'!U87</f>
        <v>2500</v>
      </c>
    </row>
    <row r="89" spans="1:9" ht="30.75" customHeight="1">
      <c r="A89" s="170"/>
      <c r="B89" s="55"/>
      <c r="C89" s="44" t="str">
        <f>'Monev rencana aksi'!C88</f>
        <v>Luas  irigasi  kabupaten  dalam  kondisi Baik</v>
      </c>
      <c r="D89" s="44">
        <f>'Monev rencana aksi'!D88</f>
        <v>80</v>
      </c>
      <c r="E89" s="44" t="str">
        <f>'Monev rencana aksi'!E88</f>
        <v>%</v>
      </c>
      <c r="F89" s="216">
        <f>'Monev rencana aksi'!F88</f>
        <v>19.427499999999998</v>
      </c>
      <c r="G89" s="216">
        <f>'Monev rencana aksi'!K88</f>
        <v>19.427499999999998</v>
      </c>
      <c r="H89" s="216">
        <f>'Monev rencana aksi'!P88</f>
        <v>19.427499999999998</v>
      </c>
      <c r="I89" s="216">
        <f>'Monev rencana aksi'!U88</f>
        <v>19.427499999999998</v>
      </c>
    </row>
    <row r="90" spans="1:9" ht="51" customHeight="1">
      <c r="A90" s="171"/>
      <c r="B90" s="49"/>
      <c r="C90" s="44" t="str">
        <f>'Monev rencana aksi'!C89</f>
        <v>Cakupan areal      terdampak yang tertangani</v>
      </c>
      <c r="D90" s="44">
        <f>'Monev rencana aksi'!D89</f>
        <v>7000</v>
      </c>
      <c r="E90" s="44" t="str">
        <f>'Monev rencana aksi'!E89</f>
        <v>Ha</v>
      </c>
      <c r="F90" s="216">
        <f>'Monev rencana aksi'!F89</f>
        <v>1475</v>
      </c>
      <c r="G90" s="216">
        <f>'Monev rencana aksi'!K89</f>
        <v>1475</v>
      </c>
      <c r="H90" s="216">
        <f>'Monev rencana aksi'!P89</f>
        <v>1475</v>
      </c>
      <c r="I90" s="216">
        <f>'Monev rencana aksi'!U89</f>
        <v>1475</v>
      </c>
    </row>
    <row r="91" spans="1:9">
      <c r="A91" s="172"/>
      <c r="B91" s="173"/>
      <c r="C91" s="217"/>
      <c r="D91" s="218"/>
      <c r="E91" s="219"/>
      <c r="F91" s="219"/>
      <c r="G91" s="219"/>
      <c r="H91" s="219"/>
      <c r="I91" s="219"/>
    </row>
    <row r="92" spans="1:9" ht="15" customHeight="1">
      <c r="A92" s="58"/>
      <c r="B92" s="174"/>
      <c r="C92" s="175"/>
      <c r="D92" s="40"/>
      <c r="E92" s="40"/>
      <c r="F92" s="40"/>
      <c r="G92" s="205" t="s">
        <v>168</v>
      </c>
      <c r="H92" s="40"/>
      <c r="I92" s="40"/>
    </row>
    <row r="93" spans="1:9" ht="15" customHeight="1">
      <c r="A93" s="40"/>
      <c r="B93" s="148"/>
      <c r="C93" s="148"/>
      <c r="D93" s="58"/>
      <c r="E93" s="58"/>
      <c r="F93" s="40"/>
      <c r="G93" s="58"/>
      <c r="H93" s="40"/>
      <c r="I93" s="40"/>
    </row>
    <row r="94" spans="1:9" ht="15" customHeight="1">
      <c r="A94" s="40"/>
      <c r="B94" s="148"/>
      <c r="C94" s="148"/>
      <c r="D94" s="176"/>
      <c r="E94" s="176"/>
      <c r="F94" s="233" t="s">
        <v>63</v>
      </c>
      <c r="G94" s="233"/>
      <c r="H94" s="233"/>
      <c r="I94" s="40"/>
    </row>
    <row r="95" spans="1:9" ht="15" customHeight="1">
      <c r="A95" s="40"/>
      <c r="B95" s="115"/>
      <c r="C95" s="148"/>
      <c r="D95" s="58"/>
      <c r="E95" s="58"/>
      <c r="F95" s="233" t="s">
        <v>64</v>
      </c>
      <c r="G95" s="233"/>
      <c r="H95" s="233"/>
      <c r="I95" s="40"/>
    </row>
    <row r="96" spans="1:9" ht="15" customHeight="1">
      <c r="A96" s="40"/>
      <c r="B96" s="115"/>
      <c r="C96" s="148"/>
      <c r="D96" s="58"/>
      <c r="E96" s="58"/>
      <c r="F96" s="148"/>
      <c r="G96" s="148"/>
      <c r="H96" s="148"/>
      <c r="I96" s="40"/>
    </row>
    <row r="97" spans="1:9" ht="15" customHeight="1">
      <c r="A97" s="40"/>
      <c r="B97" s="115"/>
      <c r="C97" s="148"/>
      <c r="D97" s="176"/>
      <c r="E97" s="176"/>
      <c r="F97" s="40"/>
      <c r="G97" s="148"/>
      <c r="H97" s="40"/>
      <c r="I97" s="40"/>
    </row>
    <row r="98" spans="1:9" ht="15" customHeight="1">
      <c r="A98" s="40"/>
      <c r="B98" s="115"/>
      <c r="C98" s="148"/>
      <c r="D98" s="176"/>
      <c r="E98" s="176"/>
      <c r="F98" s="247" t="s">
        <v>66</v>
      </c>
      <c r="G98" s="247"/>
      <c r="H98" s="247"/>
      <c r="I98" s="40"/>
    </row>
    <row r="99" spans="1:9" ht="15" customHeight="1">
      <c r="A99" s="40"/>
      <c r="B99" s="115"/>
      <c r="C99" s="148"/>
      <c r="D99" s="176"/>
      <c r="E99" s="176"/>
      <c r="F99" s="236" t="s">
        <v>67</v>
      </c>
      <c r="G99" s="236"/>
      <c r="H99" s="236"/>
      <c r="I99" s="40"/>
    </row>
    <row r="100" spans="1:9" ht="15" customHeight="1">
      <c r="A100" s="40"/>
      <c r="B100" s="115"/>
      <c r="C100" s="148"/>
      <c r="D100" s="176"/>
      <c r="E100" s="176"/>
      <c r="F100" s="236" t="s">
        <v>68</v>
      </c>
      <c r="G100" s="236"/>
      <c r="H100" s="236"/>
      <c r="I100" s="40"/>
    </row>
    <row r="101" spans="1:9" ht="15" customHeight="1">
      <c r="A101" s="40"/>
      <c r="B101" s="177"/>
      <c r="C101" s="178"/>
      <c r="D101" s="179"/>
      <c r="E101" s="179"/>
      <c r="F101" s="233"/>
      <c r="G101" s="233"/>
      <c r="H101" s="233"/>
      <c r="I101" s="40"/>
    </row>
    <row r="102" spans="1:9">
      <c r="A102" s="40"/>
      <c r="B102" s="148"/>
      <c r="C102" s="148"/>
      <c r="D102" s="58"/>
      <c r="E102" s="58"/>
      <c r="F102" s="40"/>
      <c r="G102" s="40"/>
      <c r="H102" s="40"/>
      <c r="I102" s="58"/>
    </row>
    <row r="103" spans="1:9">
      <c r="A103" s="40"/>
      <c r="B103" s="148"/>
      <c r="C103" s="148"/>
      <c r="D103" s="58"/>
      <c r="E103" s="58"/>
      <c r="F103" s="40"/>
      <c r="G103" s="40"/>
      <c r="H103" s="40"/>
      <c r="I103" s="58"/>
    </row>
    <row r="104" spans="1:9">
      <c r="A104" s="40"/>
      <c r="B104" s="40"/>
      <c r="C104" s="40"/>
      <c r="D104" s="40"/>
      <c r="E104" s="40"/>
      <c r="F104" s="40"/>
      <c r="G104" s="40"/>
      <c r="H104" s="40"/>
      <c r="I104" s="40"/>
    </row>
    <row r="105" spans="1:9">
      <c r="A105" s="40"/>
      <c r="B105" s="40"/>
      <c r="C105" s="40"/>
      <c r="D105" s="40"/>
      <c r="E105" s="40"/>
      <c r="F105" s="40"/>
      <c r="G105" s="40"/>
      <c r="H105" s="40"/>
      <c r="I105" s="40"/>
    </row>
    <row r="106" spans="1:9">
      <c r="A106" s="40"/>
      <c r="B106" s="40"/>
      <c r="C106" s="40"/>
      <c r="D106" s="40"/>
      <c r="E106" s="40"/>
      <c r="F106" s="40"/>
      <c r="G106" s="40"/>
      <c r="H106" s="40"/>
      <c r="I106" s="40"/>
    </row>
    <row r="107" spans="1:9">
      <c r="A107" s="40"/>
      <c r="B107" s="40"/>
      <c r="C107" s="40" t="s">
        <v>19</v>
      </c>
      <c r="D107" s="40"/>
      <c r="E107" s="40"/>
      <c r="F107" s="40"/>
      <c r="G107" s="40"/>
      <c r="H107" s="40"/>
      <c r="I107" s="40"/>
    </row>
    <row r="108" spans="1:9">
      <c r="A108" s="40"/>
      <c r="B108" s="40"/>
      <c r="C108" s="40"/>
      <c r="D108" s="40"/>
      <c r="E108" s="40"/>
      <c r="F108" s="40"/>
      <c r="G108" s="40"/>
      <c r="H108" s="40"/>
      <c r="I108" s="40"/>
    </row>
    <row r="109" spans="1:9">
      <c r="A109" s="40"/>
      <c r="B109" s="40"/>
      <c r="C109" s="40"/>
      <c r="D109" s="40"/>
      <c r="E109" s="40"/>
      <c r="F109" s="40"/>
      <c r="G109" s="40"/>
      <c r="H109" s="40"/>
      <c r="I109" s="40"/>
    </row>
    <row r="110" spans="1:9">
      <c r="A110" s="40"/>
      <c r="B110" s="40"/>
      <c r="C110" s="40"/>
      <c r="D110" s="40"/>
      <c r="E110" s="40"/>
      <c r="F110" s="40"/>
      <c r="G110" s="40"/>
      <c r="H110" s="40"/>
      <c r="I110" s="40"/>
    </row>
    <row r="111" spans="1:9">
      <c r="A111" s="40"/>
      <c r="B111" s="40"/>
      <c r="C111" s="40"/>
      <c r="D111" s="40"/>
      <c r="E111" s="40"/>
      <c r="F111" s="40"/>
      <c r="G111" s="40"/>
      <c r="H111" s="40"/>
      <c r="I111" s="40"/>
    </row>
    <row r="112" spans="1:9">
      <c r="A112" s="40"/>
      <c r="B112" s="40"/>
      <c r="C112" s="40"/>
      <c r="D112" s="40"/>
      <c r="E112" s="40"/>
      <c r="F112" s="40"/>
      <c r="G112" s="40"/>
      <c r="H112" s="40"/>
      <c r="I112" s="40"/>
    </row>
    <row r="113" spans="1:9">
      <c r="A113" s="40"/>
      <c r="B113" s="40"/>
      <c r="C113" s="40"/>
      <c r="D113" s="40"/>
      <c r="E113" s="40"/>
      <c r="F113" s="40"/>
      <c r="G113" s="40"/>
      <c r="H113" s="40"/>
      <c r="I113" s="40"/>
    </row>
    <row r="114" spans="1:9">
      <c r="A114" s="40"/>
      <c r="B114" s="40"/>
      <c r="C114" s="40"/>
      <c r="D114" s="40"/>
      <c r="E114" s="40"/>
      <c r="F114" s="40"/>
      <c r="G114" s="40"/>
      <c r="H114" s="40"/>
      <c r="I114" s="40"/>
    </row>
    <row r="115" spans="1:9">
      <c r="A115" s="40"/>
      <c r="B115" s="40"/>
      <c r="C115" s="40"/>
      <c r="D115" s="40"/>
      <c r="E115" s="40"/>
      <c r="F115" s="40"/>
      <c r="G115" s="40"/>
      <c r="H115" s="40"/>
      <c r="I115" s="40"/>
    </row>
    <row r="116" spans="1:9">
      <c r="A116" s="40"/>
      <c r="B116" s="40"/>
      <c r="C116" s="40"/>
      <c r="D116" s="40"/>
      <c r="E116" s="40"/>
      <c r="F116" s="40"/>
      <c r="G116" s="40"/>
      <c r="H116" s="40"/>
      <c r="I116" s="40"/>
    </row>
    <row r="117" spans="1:9">
      <c r="A117" s="40"/>
      <c r="B117" s="40"/>
      <c r="C117" s="40"/>
      <c r="D117" s="40"/>
      <c r="E117" s="40"/>
      <c r="F117" s="40"/>
      <c r="G117" s="40"/>
      <c r="H117" s="40"/>
      <c r="I117" s="40"/>
    </row>
    <row r="118" spans="1:9">
      <c r="A118" s="40"/>
      <c r="B118" s="40"/>
      <c r="C118" s="40"/>
      <c r="D118" s="40"/>
      <c r="E118" s="40"/>
      <c r="F118" s="40"/>
      <c r="G118" s="40"/>
      <c r="H118" s="40"/>
      <c r="I118" s="40"/>
    </row>
    <row r="119" spans="1:9">
      <c r="A119" s="40"/>
      <c r="B119" s="40"/>
      <c r="C119" s="40"/>
      <c r="D119" s="40"/>
      <c r="E119" s="40"/>
      <c r="F119" s="40"/>
      <c r="G119" s="40"/>
      <c r="H119" s="40"/>
      <c r="I119" s="40"/>
    </row>
    <row r="120" spans="1:9">
      <c r="A120" s="40"/>
      <c r="B120" s="40"/>
      <c r="C120" s="40"/>
      <c r="D120" s="40"/>
      <c r="E120" s="40"/>
      <c r="F120" s="40"/>
      <c r="G120" s="40"/>
      <c r="H120" s="40"/>
      <c r="I120" s="40"/>
    </row>
    <row r="121" spans="1:9">
      <c r="A121" s="40"/>
      <c r="B121" s="40"/>
      <c r="C121" s="40"/>
      <c r="D121" s="40"/>
      <c r="E121" s="40"/>
      <c r="F121" s="40"/>
      <c r="G121" s="40"/>
      <c r="H121" s="40"/>
      <c r="I121" s="40"/>
    </row>
    <row r="122" spans="1:9">
      <c r="A122" s="40"/>
      <c r="B122" s="40"/>
      <c r="C122" s="40"/>
      <c r="D122" s="40"/>
      <c r="E122" s="40"/>
      <c r="F122" s="40"/>
      <c r="G122" s="40"/>
      <c r="H122" s="40"/>
      <c r="I122" s="40"/>
    </row>
    <row r="123" spans="1:9">
      <c r="A123" s="40"/>
      <c r="B123" s="40"/>
      <c r="C123" s="40"/>
      <c r="D123" s="40"/>
      <c r="E123" s="40"/>
      <c r="F123" s="40"/>
      <c r="G123" s="40"/>
      <c r="H123" s="40"/>
      <c r="I123" s="40"/>
    </row>
    <row r="124" spans="1:9">
      <c r="A124" s="40"/>
      <c r="B124" s="40"/>
      <c r="C124" s="40"/>
      <c r="D124" s="40"/>
      <c r="E124" s="40"/>
      <c r="F124" s="40"/>
      <c r="G124" s="40"/>
      <c r="H124" s="40"/>
      <c r="I124" s="40"/>
    </row>
    <row r="125" spans="1:9">
      <c r="A125" s="40"/>
      <c r="B125" s="40"/>
      <c r="C125" s="40"/>
      <c r="D125" s="40"/>
      <c r="E125" s="40"/>
      <c r="F125" s="40"/>
      <c r="G125" s="40"/>
      <c r="H125" s="40"/>
      <c r="I125" s="40"/>
    </row>
    <row r="126" spans="1:9">
      <c r="A126" s="40"/>
      <c r="B126" s="40"/>
      <c r="C126" s="40"/>
      <c r="D126" s="40"/>
      <c r="E126" s="40"/>
      <c r="F126" s="40"/>
      <c r="G126" s="40"/>
      <c r="H126" s="40"/>
      <c r="I126" s="40"/>
    </row>
    <row r="127" spans="1:9">
      <c r="A127" s="40"/>
      <c r="B127" s="40"/>
      <c r="C127" s="40"/>
      <c r="D127" s="40"/>
      <c r="E127" s="40"/>
      <c r="F127" s="40"/>
      <c r="G127" s="40"/>
      <c r="H127" s="40"/>
      <c r="I127" s="40"/>
    </row>
    <row r="128" spans="1:9">
      <c r="A128" s="40"/>
      <c r="B128" s="40"/>
      <c r="C128" s="40"/>
      <c r="D128" s="40"/>
      <c r="E128" s="40"/>
      <c r="F128" s="40"/>
      <c r="G128" s="40"/>
      <c r="H128" s="40"/>
      <c r="I128" s="40"/>
    </row>
    <row r="129" spans="1:9">
      <c r="A129" s="40"/>
      <c r="B129" s="40"/>
      <c r="C129" s="40"/>
      <c r="D129" s="40"/>
      <c r="E129" s="40"/>
      <c r="F129" s="40"/>
      <c r="G129" s="40"/>
      <c r="H129" s="40"/>
      <c r="I129" s="40"/>
    </row>
    <row r="130" spans="1:9">
      <c r="A130" s="40"/>
      <c r="B130" s="40"/>
      <c r="C130" s="40"/>
      <c r="D130" s="40"/>
      <c r="E130" s="40"/>
      <c r="F130" s="40"/>
      <c r="G130" s="40"/>
      <c r="H130" s="40"/>
      <c r="I130" s="40"/>
    </row>
    <row r="131" spans="1:9">
      <c r="A131" s="40"/>
      <c r="B131" s="40"/>
      <c r="C131" s="40"/>
      <c r="D131" s="40"/>
      <c r="E131" s="40"/>
      <c r="F131" s="40"/>
      <c r="G131" s="40"/>
      <c r="H131" s="40"/>
      <c r="I131" s="40"/>
    </row>
    <row r="132" spans="1:9">
      <c r="A132" s="40"/>
      <c r="B132" s="40"/>
      <c r="C132" s="40"/>
      <c r="D132" s="40"/>
      <c r="E132" s="40"/>
      <c r="F132" s="40"/>
      <c r="G132" s="40"/>
      <c r="H132" s="40"/>
      <c r="I132" s="40"/>
    </row>
    <row r="133" spans="1:9">
      <c r="A133" s="40"/>
      <c r="B133" s="40"/>
      <c r="C133" s="40"/>
      <c r="D133" s="40"/>
      <c r="E133" s="40"/>
      <c r="F133" s="40"/>
      <c r="G133" s="40"/>
      <c r="H133" s="40"/>
      <c r="I133" s="40"/>
    </row>
    <row r="134" spans="1:9">
      <c r="A134" s="40"/>
      <c r="B134" s="40"/>
      <c r="C134" s="40"/>
      <c r="D134" s="40"/>
      <c r="E134" s="40"/>
      <c r="F134" s="40"/>
      <c r="G134" s="40"/>
      <c r="H134" s="40"/>
      <c r="I134" s="40"/>
    </row>
    <row r="135" spans="1:9">
      <c r="A135" s="40"/>
      <c r="B135" s="40"/>
      <c r="C135" s="40"/>
      <c r="D135" s="40"/>
      <c r="E135" s="40"/>
      <c r="F135" s="40"/>
      <c r="G135" s="40"/>
      <c r="H135" s="40"/>
      <c r="I135" s="40"/>
    </row>
    <row r="136" spans="1:9">
      <c r="A136" s="40"/>
      <c r="B136" s="40"/>
      <c r="C136" s="40"/>
      <c r="D136" s="40"/>
      <c r="E136" s="40"/>
      <c r="F136" s="40"/>
      <c r="G136" s="40"/>
      <c r="H136" s="40"/>
      <c r="I136" s="40"/>
    </row>
    <row r="137" spans="1:9">
      <c r="A137" s="40"/>
      <c r="B137" s="40"/>
      <c r="C137" s="40"/>
      <c r="D137" s="40"/>
      <c r="E137" s="40"/>
      <c r="F137" s="40"/>
      <c r="G137" s="40"/>
      <c r="H137" s="40"/>
      <c r="I137" s="40"/>
    </row>
    <row r="138" spans="1:9">
      <c r="A138" s="40"/>
      <c r="B138" s="40"/>
      <c r="C138" s="40"/>
      <c r="D138" s="40"/>
      <c r="E138" s="40"/>
      <c r="F138" s="40"/>
      <c r="G138" s="40"/>
      <c r="H138" s="40"/>
      <c r="I138" s="40"/>
    </row>
    <row r="139" spans="1:9">
      <c r="A139" s="40"/>
      <c r="B139" s="40"/>
      <c r="C139" s="40"/>
      <c r="D139" s="40"/>
      <c r="E139" s="40"/>
      <c r="F139" s="40"/>
      <c r="G139" s="40"/>
      <c r="H139" s="40"/>
      <c r="I139" s="40"/>
    </row>
    <row r="140" spans="1:9">
      <c r="A140" s="40"/>
      <c r="B140" s="40"/>
      <c r="C140" s="40"/>
      <c r="D140" s="40"/>
      <c r="E140" s="40"/>
      <c r="F140" s="40"/>
      <c r="G140" s="40"/>
      <c r="H140" s="40"/>
      <c r="I140" s="40"/>
    </row>
    <row r="141" spans="1:9">
      <c r="A141" s="40"/>
      <c r="B141" s="40"/>
      <c r="C141" s="40"/>
      <c r="D141" s="40"/>
      <c r="E141" s="40"/>
      <c r="F141" s="40"/>
      <c r="G141" s="40"/>
      <c r="H141" s="40"/>
      <c r="I141" s="40"/>
    </row>
    <row r="142" spans="1:9">
      <c r="A142" s="40"/>
      <c r="B142" s="40"/>
      <c r="C142" s="40"/>
      <c r="D142" s="40"/>
      <c r="E142" s="40"/>
      <c r="F142" s="40"/>
      <c r="G142" s="40"/>
      <c r="H142" s="40"/>
      <c r="I142" s="40"/>
    </row>
    <row r="143" spans="1:9">
      <c r="A143" s="40"/>
      <c r="B143" s="40"/>
      <c r="C143" s="40"/>
      <c r="D143" s="40"/>
      <c r="E143" s="40"/>
      <c r="F143" s="40"/>
      <c r="G143" s="40"/>
      <c r="H143" s="40"/>
      <c r="I143" s="40"/>
    </row>
    <row r="144" spans="1:9">
      <c r="A144" s="40"/>
      <c r="B144" s="40"/>
      <c r="C144" s="40"/>
      <c r="D144" s="40"/>
      <c r="E144" s="40"/>
      <c r="F144" s="40"/>
      <c r="G144" s="40"/>
      <c r="H144" s="40"/>
      <c r="I144" s="40"/>
    </row>
    <row r="145" spans="1:9">
      <c r="A145" s="40"/>
      <c r="B145" s="40"/>
      <c r="C145" s="40"/>
      <c r="D145" s="40"/>
      <c r="E145" s="40"/>
      <c r="F145" s="40"/>
      <c r="G145" s="40"/>
      <c r="H145" s="40"/>
      <c r="I145" s="40"/>
    </row>
    <row r="146" spans="1:9">
      <c r="A146" s="40"/>
      <c r="B146" s="40"/>
      <c r="C146" s="40"/>
      <c r="D146" s="40"/>
      <c r="E146" s="40"/>
      <c r="F146" s="40"/>
      <c r="G146" s="40"/>
      <c r="H146" s="40"/>
      <c r="I146" s="40"/>
    </row>
    <row r="147" spans="1:9">
      <c r="A147" s="40"/>
      <c r="B147" s="40"/>
      <c r="C147" s="40"/>
      <c r="D147" s="40"/>
      <c r="E147" s="40"/>
      <c r="F147" s="40"/>
      <c r="G147" s="40"/>
      <c r="H147" s="40"/>
      <c r="I147" s="40"/>
    </row>
    <row r="148" spans="1:9">
      <c r="A148" s="40"/>
      <c r="B148" s="40"/>
      <c r="C148" s="40"/>
      <c r="D148" s="40"/>
      <c r="E148" s="40"/>
      <c r="F148" s="40"/>
      <c r="G148" s="40"/>
      <c r="H148" s="40"/>
      <c r="I148" s="40"/>
    </row>
    <row r="149" spans="1:9">
      <c r="A149" s="40"/>
      <c r="B149" s="40"/>
      <c r="C149" s="40"/>
      <c r="D149" s="40"/>
      <c r="E149" s="40"/>
      <c r="F149" s="40"/>
      <c r="G149" s="40"/>
      <c r="H149" s="40"/>
      <c r="I149" s="40"/>
    </row>
    <row r="150" spans="1:9">
      <c r="A150" s="40"/>
      <c r="B150" s="40"/>
      <c r="C150" s="40"/>
      <c r="D150" s="40"/>
      <c r="E150" s="40"/>
      <c r="F150" s="40"/>
      <c r="G150" s="40"/>
      <c r="H150" s="40"/>
      <c r="I150" s="40"/>
    </row>
    <row r="151" spans="1:9">
      <c r="A151" s="40"/>
      <c r="B151" s="40"/>
      <c r="C151" s="40"/>
      <c r="D151" s="40"/>
      <c r="E151" s="40"/>
      <c r="F151" s="40"/>
      <c r="G151" s="40"/>
      <c r="H151" s="40"/>
      <c r="I151" s="40"/>
    </row>
    <row r="152" spans="1:9">
      <c r="A152" s="40"/>
      <c r="B152" s="40"/>
      <c r="C152" s="40"/>
      <c r="D152" s="40"/>
      <c r="E152" s="40"/>
      <c r="F152" s="40"/>
      <c r="G152" s="40"/>
      <c r="H152" s="40"/>
      <c r="I152" s="40"/>
    </row>
    <row r="153" spans="1:9">
      <c r="A153" s="40"/>
      <c r="B153" s="40"/>
      <c r="C153" s="40"/>
      <c r="D153" s="40"/>
      <c r="E153" s="40"/>
      <c r="F153" s="40"/>
      <c r="G153" s="40"/>
      <c r="H153" s="40"/>
      <c r="I153" s="40"/>
    </row>
    <row r="154" spans="1:9">
      <c r="A154" s="40"/>
      <c r="B154" s="40"/>
      <c r="C154" s="40"/>
      <c r="D154" s="40"/>
      <c r="E154" s="40"/>
      <c r="F154" s="40"/>
      <c r="G154" s="40"/>
      <c r="H154" s="40"/>
      <c r="I154" s="40"/>
    </row>
    <row r="155" spans="1:9">
      <c r="A155" s="40"/>
      <c r="B155" s="40"/>
      <c r="C155" s="40"/>
      <c r="D155" s="40"/>
      <c r="E155" s="40"/>
      <c r="F155" s="40"/>
      <c r="G155" s="40"/>
      <c r="H155" s="40"/>
      <c r="I155" s="40"/>
    </row>
    <row r="156" spans="1:9">
      <c r="A156" s="40"/>
      <c r="B156" s="40"/>
      <c r="C156" s="40"/>
      <c r="D156" s="40"/>
      <c r="E156" s="40"/>
      <c r="F156" s="40"/>
      <c r="G156" s="40"/>
      <c r="H156" s="40"/>
      <c r="I156" s="40"/>
    </row>
    <row r="157" spans="1:9">
      <c r="A157" s="40"/>
      <c r="B157" s="40"/>
      <c r="C157" s="40"/>
      <c r="D157" s="40"/>
      <c r="E157" s="40"/>
      <c r="F157" s="40"/>
      <c r="G157" s="40"/>
      <c r="H157" s="40"/>
      <c r="I157" s="40"/>
    </row>
    <row r="158" spans="1:9">
      <c r="A158" s="40"/>
      <c r="B158" s="40"/>
      <c r="C158" s="40"/>
      <c r="D158" s="40"/>
      <c r="E158" s="40"/>
      <c r="F158" s="40"/>
      <c r="G158" s="40"/>
      <c r="H158" s="40"/>
      <c r="I158" s="40"/>
    </row>
    <row r="159" spans="1:9">
      <c r="A159" s="40"/>
      <c r="B159" s="40"/>
      <c r="C159" s="40"/>
      <c r="D159" s="40"/>
      <c r="E159" s="40"/>
      <c r="F159" s="40"/>
      <c r="G159" s="40"/>
      <c r="H159" s="40"/>
      <c r="I159" s="40"/>
    </row>
    <row r="160" spans="1:9">
      <c r="A160" s="40"/>
      <c r="B160" s="40"/>
      <c r="C160" s="40"/>
      <c r="D160" s="40"/>
      <c r="E160" s="40"/>
      <c r="F160" s="40"/>
      <c r="G160" s="40"/>
      <c r="H160" s="40"/>
      <c r="I160" s="40"/>
    </row>
    <row r="161" spans="1:9">
      <c r="A161" s="40"/>
      <c r="B161" s="40"/>
      <c r="C161" s="40"/>
      <c r="D161" s="40"/>
      <c r="E161" s="40"/>
      <c r="F161" s="40"/>
      <c r="G161" s="40"/>
      <c r="H161" s="40"/>
      <c r="I161" s="40"/>
    </row>
    <row r="162" spans="1:9">
      <c r="A162" s="40"/>
      <c r="B162" s="40"/>
      <c r="C162" s="40"/>
      <c r="D162" s="40"/>
      <c r="E162" s="40"/>
      <c r="F162" s="40"/>
      <c r="G162" s="40"/>
      <c r="H162" s="40"/>
      <c r="I162" s="40"/>
    </row>
  </sheetData>
  <mergeCells count="20">
    <mergeCell ref="F100:H100"/>
    <mergeCell ref="F101:H101"/>
    <mergeCell ref="A4:I4"/>
    <mergeCell ref="A5:I5"/>
    <mergeCell ref="A6:A8"/>
    <mergeCell ref="B6:B8"/>
    <mergeCell ref="C6:C8"/>
    <mergeCell ref="D6:D8"/>
    <mergeCell ref="E6:E8"/>
    <mergeCell ref="F7:F8"/>
    <mergeCell ref="G7:G8"/>
    <mergeCell ref="H7:H8"/>
    <mergeCell ref="I7:I8"/>
    <mergeCell ref="B10:B16"/>
    <mergeCell ref="F98:H98"/>
    <mergeCell ref="B17:B28"/>
    <mergeCell ref="F94:H94"/>
    <mergeCell ref="F95:H95"/>
    <mergeCell ref="B72:B73"/>
    <mergeCell ref="F99:H99"/>
  </mergeCells>
  <pageMargins left="0.91" right="0.25" top="0.33" bottom="0.45" header="0.3" footer="0.3"/>
  <pageSetup paperSize="5" orientation="landscape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2:G227"/>
  <sheetViews>
    <sheetView workbookViewId="0">
      <pane ySplit="8" topLeftCell="A9" activePane="bottomLeft" state="frozen"/>
      <selection pane="bottomLeft" activeCell="A9" sqref="A9"/>
    </sheetView>
  </sheetViews>
  <sheetFormatPr defaultRowHeight="15"/>
  <cols>
    <col min="1" max="1" width="5.5703125" style="2" customWidth="1"/>
    <col min="2" max="2" width="61" style="2" customWidth="1"/>
    <col min="3" max="3" width="31.140625" style="2" customWidth="1"/>
    <col min="4" max="4" width="15.140625" style="2" customWidth="1"/>
    <col min="5" max="5" width="10.5703125" style="2" customWidth="1"/>
    <col min="6" max="6" width="15.28515625" style="2" customWidth="1"/>
    <col min="7" max="7" width="14.28515625" style="2" customWidth="1"/>
    <col min="8" max="16384" width="9.140625" style="2"/>
  </cols>
  <sheetData>
    <row r="2" spans="1:7" ht="15.75">
      <c r="A2" s="252" t="s">
        <v>154</v>
      </c>
      <c r="B2" s="252"/>
      <c r="C2" s="252"/>
      <c r="D2" s="252"/>
      <c r="E2" s="252"/>
      <c r="F2" s="252"/>
      <c r="G2" s="252"/>
    </row>
    <row r="3" spans="1:7" ht="15.75">
      <c r="A3" s="252" t="s">
        <v>41</v>
      </c>
      <c r="B3" s="252"/>
      <c r="C3" s="252"/>
      <c r="D3" s="252"/>
      <c r="E3" s="252"/>
      <c r="F3" s="252"/>
      <c r="G3" s="252"/>
    </row>
    <row r="4" spans="1:7" ht="15.75">
      <c r="A4" s="1"/>
      <c r="B4" s="1"/>
      <c r="C4" s="1"/>
      <c r="D4" s="1"/>
    </row>
    <row r="5" spans="1:7" ht="15.75" customHeight="1">
      <c r="A5" s="238" t="s">
        <v>0</v>
      </c>
      <c r="B5" s="238" t="s">
        <v>1</v>
      </c>
      <c r="C5" s="238" t="s">
        <v>2</v>
      </c>
      <c r="D5" s="238" t="s">
        <v>3</v>
      </c>
      <c r="E5" s="238" t="s">
        <v>17</v>
      </c>
      <c r="F5" s="253" t="s">
        <v>8</v>
      </c>
      <c r="G5" s="254" t="s">
        <v>18</v>
      </c>
    </row>
    <row r="6" spans="1:7" s="4" customFormat="1" ht="15" customHeight="1">
      <c r="A6" s="238"/>
      <c r="B6" s="238"/>
      <c r="C6" s="238"/>
      <c r="D6" s="238"/>
      <c r="E6" s="238"/>
      <c r="F6" s="253"/>
      <c r="G6" s="254"/>
    </row>
    <row r="7" spans="1:7" s="8" customFormat="1">
      <c r="A7" s="238"/>
      <c r="B7" s="238"/>
      <c r="C7" s="238"/>
      <c r="D7" s="238"/>
      <c r="E7" s="238"/>
      <c r="F7" s="253"/>
      <c r="G7" s="254"/>
    </row>
    <row r="8" spans="1:7" s="8" customFormat="1">
      <c r="A8" s="9">
        <v>1</v>
      </c>
      <c r="B8" s="9">
        <v>2</v>
      </c>
      <c r="C8" s="9">
        <v>3</v>
      </c>
      <c r="D8" s="9">
        <v>4</v>
      </c>
      <c r="E8" s="9">
        <v>5</v>
      </c>
      <c r="F8" s="20">
        <v>6</v>
      </c>
      <c r="G8" s="21" t="s">
        <v>22</v>
      </c>
    </row>
    <row r="9" spans="1:7" s="8" customFormat="1" ht="31.5" customHeight="1">
      <c r="A9" s="59">
        <v>1</v>
      </c>
      <c r="B9" s="52" t="str">
        <f>'Monev rencana aksi'!B10</f>
        <v>Meningkatnya produksi dan produktivitas pertanian tahaman pangan, palawija, holtikultura dan perkebunan</v>
      </c>
      <c r="C9" s="52" t="str">
        <f>'Monev rencana aksi'!C10</f>
        <v>Produksi Padi</v>
      </c>
      <c r="D9" s="220">
        <f>'Monev rencana aksi'!D10</f>
        <v>589200</v>
      </c>
      <c r="E9" s="189" t="str">
        <f>'Monev rencana aksi'!E10</f>
        <v>Ton</v>
      </c>
      <c r="F9" s="190">
        <f>'Monev rencana aksi'!X10</f>
        <v>589200</v>
      </c>
      <c r="G9" s="26">
        <f t="shared" ref="G9" si="0">F9/$D9</f>
        <v>1</v>
      </c>
    </row>
    <row r="10" spans="1:7" s="8" customFormat="1" ht="24" customHeight="1">
      <c r="A10" s="60"/>
      <c r="B10" s="191"/>
      <c r="C10" s="52" t="str">
        <f>'Monev rencana aksi'!C11</f>
        <v>Produksi Jagung</v>
      </c>
      <c r="D10" s="220">
        <f>'Monev rencana aksi'!D11</f>
        <v>44200</v>
      </c>
      <c r="E10" s="189" t="str">
        <f>'Monev rencana aksi'!E11</f>
        <v>Ton</v>
      </c>
      <c r="F10" s="206">
        <f>'Monev rencana aksi'!X11</f>
        <v>112906.09</v>
      </c>
      <c r="G10" s="26">
        <f t="shared" ref="G10:G22" si="1">F10/$D10</f>
        <v>2.5544364253393663</v>
      </c>
    </row>
    <row r="11" spans="1:7" ht="20.100000000000001" customHeight="1">
      <c r="A11" s="60"/>
      <c r="B11" s="191"/>
      <c r="C11" s="52" t="str">
        <f>'Monev rencana aksi'!C12</f>
        <v>Produksi Cabe</v>
      </c>
      <c r="D11" s="220">
        <f>'Monev rencana aksi'!D12</f>
        <v>289</v>
      </c>
      <c r="E11" s="189" t="str">
        <f>'Monev rencana aksi'!E12</f>
        <v>Ton</v>
      </c>
      <c r="F11" s="206">
        <f>'Monev rencana aksi'!X12</f>
        <v>13078</v>
      </c>
      <c r="G11" s="193">
        <f t="shared" si="1"/>
        <v>45.252595155709344</v>
      </c>
    </row>
    <row r="12" spans="1:7" ht="20.100000000000001" customHeight="1">
      <c r="A12" s="60"/>
      <c r="B12" s="191"/>
      <c r="C12" s="52" t="str">
        <f>'Monev rencana aksi'!C13</f>
        <v>Produksi Kakao</v>
      </c>
      <c r="D12" s="220">
        <f>'Monev rencana aksi'!D13</f>
        <v>7700</v>
      </c>
      <c r="E12" s="189" t="str">
        <f>'Monev rencana aksi'!E13</f>
        <v>Ton</v>
      </c>
      <c r="F12" s="206">
        <f>'Monev rencana aksi'!X13</f>
        <v>7606.83</v>
      </c>
      <c r="G12" s="26">
        <f t="shared" si="1"/>
        <v>0.9879</v>
      </c>
    </row>
    <row r="13" spans="1:7" ht="20.100000000000001" customHeight="1">
      <c r="A13" s="60"/>
      <c r="B13" s="191"/>
      <c r="C13" s="52" t="str">
        <f>'Monev rencana aksi'!C14</f>
        <v>Produksi Jambu mete</v>
      </c>
      <c r="D13" s="220">
        <f>'Monev rencana aksi'!D14</f>
        <v>1000</v>
      </c>
      <c r="E13" s="189" t="str">
        <f>'Monev rencana aksi'!E14</f>
        <v>Ton</v>
      </c>
      <c r="F13" s="206">
        <f>'Monev rencana aksi'!X14</f>
        <v>1236.78</v>
      </c>
      <c r="G13" s="26">
        <f t="shared" si="1"/>
        <v>1.23678</v>
      </c>
    </row>
    <row r="14" spans="1:7" ht="20.100000000000001" customHeight="1">
      <c r="A14" s="60"/>
      <c r="B14" s="191"/>
      <c r="C14" s="52" t="str">
        <f>'Monev rencana aksi'!C15</f>
        <v>Produksi Cengkeh</v>
      </c>
      <c r="D14" s="220">
        <f>'Monev rencana aksi'!D15</f>
        <v>651</v>
      </c>
      <c r="E14" s="189" t="str">
        <f>'Monev rencana aksi'!E15</f>
        <v>Ton</v>
      </c>
      <c r="F14" s="206">
        <f>'Monev rencana aksi'!X15</f>
        <v>620.28</v>
      </c>
      <c r="G14" s="26">
        <f t="shared" si="1"/>
        <v>0.9528110599078341</v>
      </c>
    </row>
    <row r="15" spans="1:7" ht="20.100000000000001" customHeight="1">
      <c r="A15" s="60"/>
      <c r="B15" s="191"/>
      <c r="C15" s="52" t="str">
        <f>'Monev rencana aksi'!C16</f>
        <v>Produksi Lada</v>
      </c>
      <c r="D15" s="220">
        <f>'Monev rencana aksi'!D16</f>
        <v>85</v>
      </c>
      <c r="E15" s="189" t="str">
        <f>'Monev rencana aksi'!E16</f>
        <v>Ton</v>
      </c>
      <c r="F15" s="206">
        <f>'Monev rencana aksi'!X16</f>
        <v>84.04</v>
      </c>
      <c r="G15" s="26">
        <f t="shared" si="1"/>
        <v>0.98870588235294121</v>
      </c>
    </row>
    <row r="16" spans="1:7" ht="21" customHeight="1">
      <c r="A16" s="60"/>
      <c r="B16" s="191"/>
      <c r="C16" s="52"/>
      <c r="D16" s="53"/>
      <c r="E16" s="189"/>
      <c r="F16" s="33"/>
      <c r="G16" s="193"/>
    </row>
    <row r="17" spans="1:7" ht="20.100000000000001" customHeight="1">
      <c r="A17" s="59">
        <v>2</v>
      </c>
      <c r="B17" s="230" t="s">
        <v>33</v>
      </c>
      <c r="C17" s="37" t="str">
        <f>'Monev rencana aksi'!C18</f>
        <v>Sapi</v>
      </c>
      <c r="D17" s="220">
        <f>'Monev rencana aksi'!D18</f>
        <v>73091</v>
      </c>
      <c r="E17" s="29" t="str">
        <f>'Monev rencana aksi'!E18</f>
        <v>Ekor</v>
      </c>
      <c r="F17" s="206">
        <f>'Monev rencana aksi'!X18</f>
        <v>36063</v>
      </c>
      <c r="G17" s="26">
        <f t="shared" si="1"/>
        <v>0.49339864005144274</v>
      </c>
    </row>
    <row r="18" spans="1:7" ht="20.100000000000001" customHeight="1">
      <c r="A18" s="45"/>
      <c r="B18" s="231"/>
      <c r="C18" s="37" t="str">
        <f>'Monev rencana aksi'!C19</f>
        <v>Kerbau</v>
      </c>
      <c r="D18" s="220">
        <f>'Monev rencana aksi'!D19</f>
        <v>3329</v>
      </c>
      <c r="E18" s="29" t="str">
        <f>'Monev rencana aksi'!E19</f>
        <v>Ekor</v>
      </c>
      <c r="F18" s="206">
        <f>'Monev rencana aksi'!X19</f>
        <v>1602</v>
      </c>
      <c r="G18" s="26">
        <f t="shared" si="1"/>
        <v>0.48122559327125264</v>
      </c>
    </row>
    <row r="19" spans="1:7" ht="20.100000000000001" customHeight="1">
      <c r="A19" s="60"/>
      <c r="B19" s="192"/>
      <c r="C19" s="37" t="str">
        <f>'Monev rencana aksi'!C20</f>
        <v>Kuda</v>
      </c>
      <c r="D19" s="220">
        <f>'Monev rencana aksi'!D20</f>
        <v>586</v>
      </c>
      <c r="E19" s="29" t="str">
        <f>'Monev rencana aksi'!E20</f>
        <v>Ekor</v>
      </c>
      <c r="F19" s="206">
        <f>'Monev rencana aksi'!X20</f>
        <v>293</v>
      </c>
      <c r="G19" s="26">
        <f t="shared" si="1"/>
        <v>0.5</v>
      </c>
    </row>
    <row r="20" spans="1:7" ht="20.100000000000001" customHeight="1">
      <c r="A20" s="60"/>
      <c r="B20" s="192"/>
      <c r="C20" s="37" t="str">
        <f>'Monev rencana aksi'!C21</f>
        <v>Kambing</v>
      </c>
      <c r="D20" s="220">
        <f>'Monev rencana aksi'!D21</f>
        <v>15083</v>
      </c>
      <c r="E20" s="29" t="str">
        <f>'Monev rencana aksi'!E21</f>
        <v>Ekor</v>
      </c>
      <c r="F20" s="206">
        <f>'Monev rencana aksi'!X21</f>
        <v>6273</v>
      </c>
      <c r="G20" s="26">
        <f t="shared" si="1"/>
        <v>0.4158986938937877</v>
      </c>
    </row>
    <row r="21" spans="1:7" ht="20.100000000000001" customHeight="1">
      <c r="A21" s="60"/>
      <c r="B21" s="192"/>
      <c r="C21" s="37" t="str">
        <f>'Monev rencana aksi'!C22</f>
        <v>Ayam Ras Pedaging</v>
      </c>
      <c r="D21" s="220">
        <f>'Monev rencana aksi'!D22</f>
        <v>3668330</v>
      </c>
      <c r="E21" s="29" t="str">
        <f>'Monev rencana aksi'!E22</f>
        <v>Ekor</v>
      </c>
      <c r="F21" s="206">
        <f>'Monev rencana aksi'!X22</f>
        <v>3586578</v>
      </c>
      <c r="G21" s="26">
        <f t="shared" si="1"/>
        <v>0.97771410969024053</v>
      </c>
    </row>
    <row r="22" spans="1:7" ht="20.100000000000001" customHeight="1">
      <c r="A22" s="60"/>
      <c r="B22" s="192"/>
      <c r="C22" s="37" t="str">
        <f>'Monev rencana aksi'!C23</f>
        <v>Ayam Buras</v>
      </c>
      <c r="D22" s="220">
        <f>'Monev rencana aksi'!D23</f>
        <v>2282474</v>
      </c>
      <c r="E22" s="29" t="str">
        <f>'Monev rencana aksi'!E23</f>
        <v>Ekor</v>
      </c>
      <c r="F22" s="206">
        <f>'Monev rencana aksi'!X23</f>
        <v>660394</v>
      </c>
      <c r="G22" s="26">
        <f t="shared" si="1"/>
        <v>0.28933254004207715</v>
      </c>
    </row>
    <row r="23" spans="1:7" ht="20.100000000000001" customHeight="1">
      <c r="A23" s="60"/>
      <c r="B23" s="192"/>
      <c r="C23" s="37" t="str">
        <f>'Monev rencana aksi'!C24</f>
        <v>Ayam Ras Petelur</v>
      </c>
      <c r="D23" s="220">
        <f>'Monev rencana aksi'!D24</f>
        <v>5407806</v>
      </c>
      <c r="E23" s="29" t="str">
        <f>'Monev rencana aksi'!E24</f>
        <v>Ekor</v>
      </c>
      <c r="F23" s="206">
        <f>'Monev rencana aksi'!X24</f>
        <v>5237873</v>
      </c>
      <c r="G23" s="26">
        <f t="shared" ref="G23:G29" si="2">F23/D23*100%</f>
        <v>0.96857635055695412</v>
      </c>
    </row>
    <row r="24" spans="1:7" ht="20.100000000000001" customHeight="1">
      <c r="A24" s="60"/>
      <c r="B24" s="192"/>
      <c r="C24" s="37" t="str">
        <f>'Monev rencana aksi'!C25</f>
        <v>Itik</v>
      </c>
      <c r="D24" s="220">
        <f>'Monev rencana aksi'!D25</f>
        <v>678138</v>
      </c>
      <c r="E24" s="29" t="str">
        <f>'Monev rencana aksi'!E25</f>
        <v>Ekor</v>
      </c>
      <c r="F24" s="206">
        <f>'Monev rencana aksi'!X25</f>
        <v>1313151</v>
      </c>
      <c r="G24" s="26">
        <f t="shared" si="2"/>
        <v>1.9364067490687735</v>
      </c>
    </row>
    <row r="25" spans="1:7" ht="20.100000000000001" customHeight="1">
      <c r="A25" s="60"/>
      <c r="B25" s="192"/>
      <c r="C25" s="37" t="str">
        <f>'Monev rencana aksi'!C26</f>
        <v>Daging Sapi</v>
      </c>
      <c r="D25" s="220">
        <f>'Monev rencana aksi'!D26</f>
        <v>750108</v>
      </c>
      <c r="E25" s="29" t="str">
        <f>'Monev rencana aksi'!E26</f>
        <v>Kg</v>
      </c>
      <c r="F25" s="206">
        <f>'Monev rencana aksi'!X26</f>
        <v>718189</v>
      </c>
      <c r="G25" s="26">
        <f t="shared" si="2"/>
        <v>0.95744746089896393</v>
      </c>
    </row>
    <row r="26" spans="1:7" ht="20.100000000000001" customHeight="1">
      <c r="A26" s="60"/>
      <c r="B26" s="192"/>
      <c r="C26" s="37" t="str">
        <f>'Monev rencana aksi'!C27</f>
        <v>Telur</v>
      </c>
      <c r="D26" s="220">
        <f>'Monev rencana aksi'!D27</f>
        <v>55835000</v>
      </c>
      <c r="E26" s="29" t="str">
        <f>'Monev rencana aksi'!E27</f>
        <v>Kg</v>
      </c>
      <c r="F26" s="206">
        <f>'Monev rencana aksi'!X27</f>
        <v>61445899</v>
      </c>
      <c r="G26" s="26">
        <f t="shared" si="2"/>
        <v>1.1004907137100386</v>
      </c>
    </row>
    <row r="27" spans="1:7" ht="20.100000000000001" customHeight="1">
      <c r="A27" s="60"/>
      <c r="B27" s="192"/>
      <c r="C27" s="37" t="str">
        <f>'Monev rencana aksi'!C28</f>
        <v>Perikanan Budidaya</v>
      </c>
      <c r="D27" s="220">
        <f>'Monev rencana aksi'!D28</f>
        <v>806.8</v>
      </c>
      <c r="E27" s="29" t="str">
        <f>'Monev rencana aksi'!E28</f>
        <v>Ton</v>
      </c>
      <c r="F27" s="206">
        <f>'Monev rencana aksi'!X28</f>
        <v>723.94</v>
      </c>
      <c r="G27" s="26">
        <f t="shared" si="2"/>
        <v>0.89729796727813593</v>
      </c>
    </row>
    <row r="28" spans="1:7" ht="20.100000000000001" customHeight="1">
      <c r="A28" s="60"/>
      <c r="B28" s="192"/>
      <c r="C28" s="37" t="str">
        <f>'Monev rencana aksi'!C29</f>
        <v>Perikanan Tangkap</v>
      </c>
      <c r="D28" s="220">
        <f>'Monev rencana aksi'!D29</f>
        <v>3361</v>
      </c>
      <c r="E28" s="29" t="str">
        <f>'Monev rencana aksi'!E29</f>
        <v>Ton</v>
      </c>
      <c r="F28" s="206">
        <f>'Monev rencana aksi'!X29</f>
        <v>3275.9</v>
      </c>
      <c r="G28" s="26">
        <f t="shared" si="2"/>
        <v>0.97468015471585845</v>
      </c>
    </row>
    <row r="29" spans="1:7" ht="24.95" customHeight="1">
      <c r="A29" s="46">
        <f>'Monev rencana aksi'!A31</f>
        <v>3</v>
      </c>
      <c r="B29" s="145" t="str">
        <f>'Monev rencana aksi'!B31</f>
        <v>Terciptanya keterpaduan usaha tani dari hulu ke hilir</v>
      </c>
      <c r="C29" s="37" t="str">
        <f>'Monev rencana aksi'!C31</f>
        <v>Panjang jalan tani terbangun</v>
      </c>
      <c r="D29" s="144">
        <f>'Monev rencana aksi'!D31</f>
        <v>66000</v>
      </c>
      <c r="E29" s="146" t="str">
        <f>'Monev rencana aksi'!E31</f>
        <v>meter</v>
      </c>
      <c r="F29" s="144">
        <f>'Monev rencana aksi'!X31</f>
        <v>2700</v>
      </c>
      <c r="G29" s="26">
        <f t="shared" si="2"/>
        <v>4.0909090909090909E-2</v>
      </c>
    </row>
    <row r="30" spans="1:7" ht="37.5" customHeight="1">
      <c r="A30" s="47">
        <f>'Monev rencana aksi'!A32</f>
        <v>4</v>
      </c>
      <c r="B30" s="42" t="str">
        <f>'Monev rencana aksi'!B32</f>
        <v>Terciptanya keterpaduan usaha tani antar sub sektor pertanian dan perkebunan, peternakan dan perikanan</v>
      </c>
      <c r="C30" s="37" t="str">
        <f>'Monev rencana aksi'!C32:J32</f>
        <v>Sarana dan Prasarana Penyuluh Perikanan</v>
      </c>
      <c r="D30" s="67">
        <f>'Monev rencana aksi'!D32</f>
        <v>1</v>
      </c>
      <c r="E30" s="147" t="str">
        <f>'Monev rencana aksi'!E32</f>
        <v>paket</v>
      </c>
      <c r="F30" s="27">
        <f>'Monev rencana aksi'!X32</f>
        <v>1</v>
      </c>
      <c r="G30" s="193">
        <f>F30/D30*100%</f>
        <v>1</v>
      </c>
    </row>
    <row r="31" spans="1:7" ht="45" customHeight="1">
      <c r="A31" s="59">
        <f>'Monev rencana aksi'!A33</f>
        <v>5</v>
      </c>
      <c r="B31" s="51" t="str">
        <f>'Monev rencana aksi'!B33</f>
        <v>Meningkatnya Penerapan Teknologi Pertanian Mutakhir</v>
      </c>
      <c r="C31" s="37" t="str">
        <f>'Monev rencana aksi'!C33:J33</f>
        <v>Peningkatan pengetahuan dan keterampilan bagi kelompok tani dan gapoktan.</v>
      </c>
      <c r="D31" s="67">
        <f>'Monev rencana aksi'!D33</f>
        <v>15</v>
      </c>
      <c r="E31" s="147" t="str">
        <f>'Monev rencana aksi'!E33</f>
        <v>klp</v>
      </c>
      <c r="F31" s="27">
        <f>'Monev rencana aksi'!X33</f>
        <v>15</v>
      </c>
      <c r="G31" s="193">
        <f t="shared" ref="G31:G87" si="3">F31/D31*100%</f>
        <v>1</v>
      </c>
    </row>
    <row r="32" spans="1:7" ht="32.25" customHeight="1">
      <c r="A32" s="59">
        <f>'Monev rencana aksi'!A34</f>
        <v>6</v>
      </c>
      <c r="B32" s="51" t="str">
        <f>'Monev rencana aksi'!B34</f>
        <v>Meningkatnya Kualitas Manajemen  usaha tani</v>
      </c>
      <c r="C32" s="37" t="str">
        <f>'Monev rencana aksi'!C34:J34</f>
        <v>Jumlah Penyuluh yang ikut pelatihan dasar dan Pelatihan tekhnis (Orang)</v>
      </c>
      <c r="D32" s="67">
        <f>'Monev rencana aksi'!D34</f>
        <v>70</v>
      </c>
      <c r="E32" s="147" t="str">
        <f>'Monev rencana aksi'!E34</f>
        <v>org</v>
      </c>
      <c r="F32" s="27">
        <f>'Monev rencana aksi'!X34</f>
        <v>70</v>
      </c>
      <c r="G32" s="193">
        <f t="shared" si="3"/>
        <v>1</v>
      </c>
    </row>
    <row r="33" spans="1:7" ht="32.25" customHeight="1">
      <c r="A33" s="48"/>
      <c r="B33" s="49"/>
      <c r="C33" s="37" t="str">
        <f>'Monev rencana aksi'!C35:J35</f>
        <v>Jumlah Kelompok yang dibina (Klp)</v>
      </c>
      <c r="D33" s="67">
        <f>'Monev rencana aksi'!D35</f>
        <v>100</v>
      </c>
      <c r="E33" s="147" t="str">
        <f>'Monev rencana aksi'!E35</f>
        <v>klp</v>
      </c>
      <c r="F33" s="27">
        <f>'Monev rencana aksi'!X35</f>
        <v>97</v>
      </c>
      <c r="G33" s="193">
        <f t="shared" si="3"/>
        <v>0.97</v>
      </c>
    </row>
    <row r="34" spans="1:7" ht="48" customHeight="1">
      <c r="A34" s="47">
        <f>'Monev rencana aksi'!A36</f>
        <v>7</v>
      </c>
      <c r="B34" s="51" t="str">
        <f>'Monev rencana aksi'!B36</f>
        <v>Terkendalinya laju degradasi atau penurunan tingkat kesuburan lahan</v>
      </c>
      <c r="C34" s="37" t="str">
        <f>'Monev rencana aksi'!C36:J36</f>
        <v xml:space="preserve">Persentase Koordinasi dan rumusan kebijakan sumber daya alam </v>
      </c>
      <c r="D34" s="67">
        <f>'Monev rencana aksi'!D36</f>
        <v>100</v>
      </c>
      <c r="E34" s="147" t="str">
        <f>'Monev rencana aksi'!E36</f>
        <v>%</v>
      </c>
      <c r="F34" s="27">
        <f>'Monev rencana aksi'!X36</f>
        <v>100</v>
      </c>
      <c r="G34" s="193">
        <f t="shared" si="3"/>
        <v>1</v>
      </c>
    </row>
    <row r="35" spans="1:7" ht="46.5" customHeight="1">
      <c r="A35" s="47">
        <f>'Monev rencana aksi'!A37</f>
        <v>8</v>
      </c>
      <c r="B35" s="51" t="str">
        <f>'Monev rencana aksi'!B37</f>
        <v>Meningkatnya Kelestarian Sumber Daya Air</v>
      </c>
      <c r="C35" s="37" t="str">
        <f>'Monev rencana aksi'!C37:J37</f>
        <v>Tersedianya Sumber Air Permukaan dan Air tanah dalam untuk kebutuhan pada Lahan sawah tadah hujan dan Perekebunan</v>
      </c>
      <c r="D35" s="67">
        <f>'Monev rencana aksi'!D37</f>
        <v>34</v>
      </c>
      <c r="E35" s="147" t="str">
        <f>'Monev rencana aksi'!E37</f>
        <v>unit</v>
      </c>
      <c r="F35" s="27">
        <f>'Monev rencana aksi'!X37</f>
        <v>34</v>
      </c>
      <c r="G35" s="193">
        <f t="shared" si="3"/>
        <v>1</v>
      </c>
    </row>
    <row r="36" spans="1:7" ht="33" customHeight="1">
      <c r="A36" s="47">
        <f>'Monev rencana aksi'!A38</f>
        <v>9</v>
      </c>
      <c r="B36" s="51" t="str">
        <f>'Monev rencana aksi'!B38</f>
        <v>Berkembang nya Produk Pertanian Organik</v>
      </c>
      <c r="C36" s="37" t="str">
        <f>'Monev rencana aksi'!C38:J38</f>
        <v>Cakupan koordinasi perumusan kebijakan lingkungan hidup</v>
      </c>
      <c r="D36" s="67">
        <f>'Monev rencana aksi'!D38</f>
        <v>1</v>
      </c>
      <c r="E36" s="147" t="str">
        <f>'Monev rencana aksi'!E38</f>
        <v>kegiatan</v>
      </c>
      <c r="F36" s="27">
        <f>'Monev rencana aksi'!X38</f>
        <v>1</v>
      </c>
      <c r="G36" s="193">
        <f t="shared" si="3"/>
        <v>1</v>
      </c>
    </row>
    <row r="37" spans="1:7" ht="74.25" customHeight="1">
      <c r="A37" s="59">
        <f>'Monev rencana aksi'!A39</f>
        <v>10</v>
      </c>
      <c r="B37" s="51" t="str">
        <f>'Monev rencana aksi'!B39</f>
        <v>Meningkatnya nilai produksi masing-masing sector perekonomian</v>
      </c>
      <c r="C37" s="44" t="str">
        <f>'Monev rencana aksi'!C39:J39</f>
        <v>Terlaksananya pengawasan peredaran barang dan jasa serta pelaksanaan tera/tera ulang alat UTTP</v>
      </c>
      <c r="D37" s="150">
        <f>'Monev rencana aksi'!D39</f>
        <v>7120</v>
      </c>
      <c r="E37" s="221" t="str">
        <f>'Monev rencana aksi'!E39</f>
        <v>pelaku usaha</v>
      </c>
      <c r="F37" s="151">
        <f>'Monev rencana aksi'!X39</f>
        <v>163</v>
      </c>
      <c r="G37" s="104">
        <f t="shared" si="3"/>
        <v>2.2893258426966292E-2</v>
      </c>
    </row>
    <row r="38" spans="1:7" ht="32.25" customHeight="1">
      <c r="A38" s="59">
        <f>'Monev rencana aksi'!A40</f>
        <v>11</v>
      </c>
      <c r="B38" s="44" t="str">
        <f>'Monev rencana aksi'!B40</f>
        <v>Meningkatnya sharing sector industry pengolahan jasa dalam struktur PDRB</v>
      </c>
      <c r="C38" s="37" t="str">
        <f>'Monev rencana aksi'!C40:J40</f>
        <v xml:space="preserve">Cakupan bina kelompok IKM  </v>
      </c>
      <c r="D38" s="67">
        <f>'Monev rencana aksi'!D40</f>
        <v>124</v>
      </c>
      <c r="E38" s="147" t="str">
        <f>'Monev rencana aksi'!E40</f>
        <v>klp</v>
      </c>
      <c r="F38" s="33">
        <f>'Monev rencana aksi'!X40</f>
        <v>93</v>
      </c>
      <c r="G38" s="26">
        <f t="shared" si="3"/>
        <v>0.75</v>
      </c>
    </row>
    <row r="39" spans="1:7" ht="32.25" customHeight="1">
      <c r="A39" s="60"/>
      <c r="B39" s="55"/>
      <c r="C39" s="37" t="str">
        <f>'Monev rencana aksi'!C41:J41</f>
        <v>Cakupan jumlah IKM aktif dan produktif</v>
      </c>
      <c r="D39" s="67">
        <f>'Monev rencana aksi'!D41</f>
        <v>49</v>
      </c>
      <c r="E39" s="147" t="str">
        <f>'Monev rencana aksi'!E41</f>
        <v>%</v>
      </c>
      <c r="F39" s="33">
        <f>'Monev rencana aksi'!X41</f>
        <v>59.78</v>
      </c>
      <c r="G39" s="26">
        <f t="shared" ref="G39:G43" si="4">F39/D39*100%</f>
        <v>1.22</v>
      </c>
    </row>
    <row r="40" spans="1:7" ht="32.25" customHeight="1">
      <c r="A40" s="60"/>
      <c r="B40" s="55"/>
      <c r="C40" s="37" t="str">
        <f>'Monev rencana aksi'!C42:J42</f>
        <v>Cakupan jumlah IKM baru</v>
      </c>
      <c r="D40" s="67">
        <f>'Monev rencana aksi'!D42</f>
        <v>1000</v>
      </c>
      <c r="E40" s="147" t="str">
        <f>'Monev rencana aksi'!E42</f>
        <v>IKM</v>
      </c>
      <c r="F40" s="33">
        <f>'Monev rencana aksi'!X42</f>
        <v>836</v>
      </c>
      <c r="G40" s="26">
        <f t="shared" si="4"/>
        <v>0.83599999999999997</v>
      </c>
    </row>
    <row r="41" spans="1:7" ht="32.25" customHeight="1">
      <c r="A41" s="60"/>
      <c r="B41" s="55"/>
      <c r="C41" s="37" t="str">
        <f>'Monev rencana aksi'!C43:J43</f>
        <v>Kostribusi sector industri terhadap PDRB</v>
      </c>
      <c r="D41" s="67">
        <f>'Monev rencana aksi'!D43</f>
        <v>14.75</v>
      </c>
      <c r="E41" s="147" t="str">
        <f>'Monev rencana aksi'!E43</f>
        <v>%</v>
      </c>
      <c r="F41" s="33">
        <f>'Monev rencana aksi'!X43</f>
        <v>14.21</v>
      </c>
      <c r="G41" s="26">
        <f t="shared" si="4"/>
        <v>0.9633898305084746</v>
      </c>
    </row>
    <row r="42" spans="1:7" ht="32.25" customHeight="1">
      <c r="A42" s="60"/>
      <c r="B42" s="55"/>
      <c r="C42" s="37" t="str">
        <f>'Monev rencana aksi'!C44:J44</f>
        <v>Pertumbuhan Industri</v>
      </c>
      <c r="D42" s="67">
        <f>'Monev rencana aksi'!D44</f>
        <v>3.89</v>
      </c>
      <c r="E42" s="147" t="str">
        <f>'Monev rencana aksi'!E44</f>
        <v>%</v>
      </c>
      <c r="F42" s="33">
        <f>'Monev rencana aksi'!X44</f>
        <v>4.8099999999999996</v>
      </c>
      <c r="G42" s="26">
        <f t="shared" si="4"/>
        <v>1.236503856041131</v>
      </c>
    </row>
    <row r="43" spans="1:7" ht="32.25" customHeight="1">
      <c r="A43" s="48"/>
      <c r="B43" s="49"/>
      <c r="C43" s="37" t="str">
        <f>'Monev rencana aksi'!C45:J45</f>
        <v>Cakupan Peningkatan kajian pelaku industri</v>
      </c>
      <c r="D43" s="67">
        <f>'Monev rencana aksi'!D45</f>
        <v>72</v>
      </c>
      <c r="E43" s="147" t="str">
        <f>'Monev rencana aksi'!E45</f>
        <v>%</v>
      </c>
      <c r="F43" s="33">
        <f>'Monev rencana aksi'!X45</f>
        <v>75.569999999999993</v>
      </c>
      <c r="G43" s="26">
        <f t="shared" si="4"/>
        <v>1.0495833333333333</v>
      </c>
    </row>
    <row r="44" spans="1:7" ht="46.5" customHeight="1">
      <c r="A44" s="59">
        <f>'Monev rencana aksi'!A46</f>
        <v>12</v>
      </c>
      <c r="B44" s="44" t="str">
        <f>'Monev rencana aksi'!B46</f>
        <v>Terwujudnya daya saing tenaga kerja pada bidang yang mendukung produksi pertanian,  industri pengolahan dan jasa</v>
      </c>
      <c r="C44" s="37" t="str">
        <f>'Monev rencana aksi'!C46:J46</f>
        <v>Jumlah tenaga kerja pada lembaga ketenagakerjaan yang mendapat perlindungan hukum</v>
      </c>
      <c r="D44" s="67">
        <f>'Monev rencana aksi'!D46</f>
        <v>40</v>
      </c>
      <c r="E44" s="147" t="str">
        <f>'Monev rencana aksi'!E46</f>
        <v>kegiatan</v>
      </c>
      <c r="F44" s="34">
        <f>'Monev rencana aksi'!X46</f>
        <v>115</v>
      </c>
      <c r="G44" s="193">
        <f t="shared" si="3"/>
        <v>2.875</v>
      </c>
    </row>
    <row r="45" spans="1:7" ht="35.25" customHeight="1">
      <c r="A45" s="60"/>
      <c r="B45" s="55"/>
      <c r="C45" s="37" t="str">
        <f>'Monev rencana aksi'!C47:J47</f>
        <v>Jumlah Tenaga Kerja yang mendapatkan pelatihan kerja</v>
      </c>
      <c r="D45" s="67">
        <f>'Monev rencana aksi'!D47</f>
        <v>9</v>
      </c>
      <c r="E45" s="147" t="str">
        <f>'Monev rencana aksi'!E46</f>
        <v>kegiatan</v>
      </c>
      <c r="F45" s="34">
        <f>'Monev rencana aksi'!X47</f>
        <v>9</v>
      </c>
      <c r="G45" s="193">
        <f t="shared" si="3"/>
        <v>1</v>
      </c>
    </row>
    <row r="46" spans="1:7" ht="15" customHeight="1">
      <c r="A46" s="59">
        <f>'Monev rencana aksi'!A48</f>
        <v>13</v>
      </c>
      <c r="B46" s="44" t="str">
        <f>'Monev rencana aksi'!B48</f>
        <v>Meningkatnya pelayanan Rumah Sakit</v>
      </c>
      <c r="C46" s="37" t="str">
        <f>'Monev rencana aksi'!C48:J48</f>
        <v>Persentase kepuasan pasien</v>
      </c>
      <c r="D46" s="67">
        <f>'Monev rencana aksi'!D48</f>
        <v>90</v>
      </c>
      <c r="E46" s="147" t="str">
        <f>'Monev rencana aksi'!E47</f>
        <v>kegiatan</v>
      </c>
      <c r="F46" s="34">
        <f>'Monev rencana aksi'!X48</f>
        <v>114.35</v>
      </c>
      <c r="G46" s="26">
        <f t="shared" si="3"/>
        <v>1.2705555555555554</v>
      </c>
    </row>
    <row r="47" spans="1:7" ht="15" customHeight="1">
      <c r="A47" s="60"/>
      <c r="B47" s="55"/>
      <c r="C47" s="37" t="str">
        <f>'Monev rencana aksi'!C49:J49</f>
        <v>Cakupan SPM Kesehatan</v>
      </c>
      <c r="D47" s="67">
        <f>'Monev rencana aksi'!D49</f>
        <v>90</v>
      </c>
      <c r="E47" s="147" t="str">
        <f>'Monev rencana aksi'!E48</f>
        <v>%</v>
      </c>
      <c r="F47" s="34">
        <f>'Monev rencana aksi'!X49</f>
        <v>90.76</v>
      </c>
      <c r="G47" s="26">
        <f t="shared" ref="G47" si="5">F47/D47*100%</f>
        <v>1.0084444444444445</v>
      </c>
    </row>
    <row r="48" spans="1:7" ht="15" customHeight="1">
      <c r="A48" s="60"/>
      <c r="B48" s="38"/>
      <c r="C48" s="37" t="str">
        <f>'Monev rencana aksi'!C50:J50</f>
        <v>Rumah Sakit lulus akreditasi</v>
      </c>
      <c r="D48" s="67" t="str">
        <f>'Monev rencana aksi'!D50</f>
        <v>Terakreditasi</v>
      </c>
      <c r="E48" s="147" t="str">
        <f>'Monev rencana aksi'!E48</f>
        <v>%</v>
      </c>
      <c r="F48" s="34" t="str">
        <f>D48</f>
        <v>Terakreditasi</v>
      </c>
      <c r="G48" s="26">
        <v>1</v>
      </c>
    </row>
    <row r="49" spans="1:7" ht="15" customHeight="1">
      <c r="A49" s="60"/>
      <c r="B49" s="38"/>
      <c r="C49" s="37" t="str">
        <f>'Monev rencana aksi'!C51:J51</f>
        <v>Persentase pasien rawat inap :</v>
      </c>
      <c r="D49" s="67">
        <f>'Monev rencana aksi'!D51</f>
        <v>80</v>
      </c>
      <c r="E49" s="147" t="str">
        <f>'Monev rencana aksi'!E50</f>
        <v>-</v>
      </c>
      <c r="F49" s="34">
        <f>'Monev rencana aksi'!X51</f>
        <v>66.7</v>
      </c>
      <c r="G49" s="26">
        <f t="shared" si="3"/>
        <v>0.83374999999999999</v>
      </c>
    </row>
    <row r="50" spans="1:7" ht="15" customHeight="1">
      <c r="A50" s="60"/>
      <c r="B50" s="38"/>
      <c r="C50" s="37" t="str">
        <f>'Monev rencana aksi'!C52:J52</f>
        <v>* BOR</v>
      </c>
      <c r="D50" s="67">
        <f>'Monev rencana aksi'!D52</f>
        <v>80</v>
      </c>
      <c r="E50" s="147" t="str">
        <f>'Monev rencana aksi'!E51</f>
        <v>%</v>
      </c>
      <c r="F50" s="34">
        <f>'Monev rencana aksi'!X52</f>
        <v>79</v>
      </c>
      <c r="G50" s="26">
        <f t="shared" si="3"/>
        <v>0.98750000000000004</v>
      </c>
    </row>
    <row r="51" spans="1:7" ht="15" customHeight="1">
      <c r="A51" s="60"/>
      <c r="B51" s="38"/>
      <c r="C51" s="37" t="str">
        <f>'Monev rencana aksi'!C53:J53</f>
        <v>* Av LOS</v>
      </c>
      <c r="D51" s="67" t="str">
        <f>'Monev rencana aksi'!D53</f>
        <v>6-9 hari</v>
      </c>
      <c r="E51" s="147" t="str">
        <f>'Monev rencana aksi'!E52</f>
        <v>%</v>
      </c>
      <c r="F51" s="34">
        <f>'Monev rencana aksi'!X53</f>
        <v>5</v>
      </c>
      <c r="G51" s="26">
        <f>'Monev rencana aksi'!Y53</f>
        <v>0.83330000000000004</v>
      </c>
    </row>
    <row r="52" spans="1:7" ht="15" customHeight="1">
      <c r="A52" s="60"/>
      <c r="B52" s="38"/>
      <c r="C52" s="37" t="str">
        <f>'Monev rencana aksi'!C54:J54</f>
        <v>* BTO</v>
      </c>
      <c r="D52" s="67" t="str">
        <f>'Monev rencana aksi'!D54</f>
        <v>40-50</v>
      </c>
      <c r="E52" s="147" t="str">
        <f>'Monev rencana aksi'!E53</f>
        <v>Hari</v>
      </c>
      <c r="F52" s="34">
        <f>'Monev rencana aksi'!X54</f>
        <v>51</v>
      </c>
      <c r="G52" s="26">
        <f>'Monev rencana aksi'!Y54</f>
        <v>1.02</v>
      </c>
    </row>
    <row r="53" spans="1:7" ht="15" customHeight="1">
      <c r="A53" s="60"/>
      <c r="B53" s="38"/>
      <c r="C53" s="37" t="str">
        <f>'Monev rencana aksi'!C55:J55</f>
        <v>* TOI</v>
      </c>
      <c r="D53" s="67" t="str">
        <f>'Monev rencana aksi'!D55</f>
        <v>1-3 hari</v>
      </c>
      <c r="E53" s="147" t="str">
        <f>'Monev rencana aksi'!E54</f>
        <v>Kali</v>
      </c>
      <c r="F53" s="34">
        <f>'Monev rencana aksi'!X55</f>
        <v>1</v>
      </c>
      <c r="G53" s="26">
        <f>'Monev rencana aksi'!Y55</f>
        <v>1</v>
      </c>
    </row>
    <row r="54" spans="1:7" ht="15" customHeight="1">
      <c r="A54" s="60"/>
      <c r="B54" s="38"/>
      <c r="C54" s="37" t="str">
        <f>'Monev rencana aksi'!C56:J56</f>
        <v>* NDR</v>
      </c>
      <c r="D54" s="67">
        <f>'Monev rencana aksi'!D56</f>
        <v>15</v>
      </c>
      <c r="E54" s="147" t="str">
        <f>'Monev rencana aksi'!E55</f>
        <v>Hari</v>
      </c>
      <c r="F54" s="34">
        <f>'Monev rencana aksi'!X56</f>
        <v>21</v>
      </c>
      <c r="G54" s="26">
        <f t="shared" si="3"/>
        <v>1.4</v>
      </c>
    </row>
    <row r="55" spans="1:7" ht="15" customHeight="1">
      <c r="A55" s="60"/>
      <c r="B55" s="55"/>
      <c r="C55" s="37" t="str">
        <f>'Monev rencana aksi'!C57:J57</f>
        <v>* GDR</v>
      </c>
      <c r="D55" s="67">
        <f>'Monev rencana aksi'!D57</f>
        <v>30</v>
      </c>
      <c r="E55" s="147" t="str">
        <f>'Monev rencana aksi'!E56</f>
        <v>%</v>
      </c>
      <c r="F55" s="34">
        <f>'Monev rencana aksi'!X57</f>
        <v>41</v>
      </c>
      <c r="G55" s="26">
        <f t="shared" si="3"/>
        <v>1.3666666666666667</v>
      </c>
    </row>
    <row r="56" spans="1:7" ht="15" customHeight="1">
      <c r="A56" s="60"/>
      <c r="B56" s="55"/>
      <c r="C56" s="37" t="str">
        <f>'Monev rencana aksi'!C58:J58</f>
        <v>Jumlah kjngan RITL</v>
      </c>
      <c r="D56" s="67">
        <f>'Monev rencana aksi'!D58</f>
        <v>7743</v>
      </c>
      <c r="E56" s="147" t="str">
        <f>'Monev rencana aksi'!E57</f>
        <v>%</v>
      </c>
      <c r="F56" s="34">
        <f>'Monev rencana aksi'!X58</f>
        <v>8908</v>
      </c>
      <c r="G56" s="26">
        <f t="shared" si="3"/>
        <v>1.1504584786258556</v>
      </c>
    </row>
    <row r="57" spans="1:7" ht="15" customHeight="1">
      <c r="A57" s="60"/>
      <c r="B57" s="55"/>
      <c r="C57" s="37" t="str">
        <f>'Monev rencana aksi'!C59:J59</f>
        <v>Jumlah kunjungan RJTL</v>
      </c>
      <c r="D57" s="67">
        <f>'Monev rencana aksi'!D59</f>
        <v>24566</v>
      </c>
      <c r="E57" s="147" t="str">
        <f>'Monev rencana aksi'!E58</f>
        <v>pasien</v>
      </c>
      <c r="F57" s="34">
        <f>'Monev rencana aksi'!X59</f>
        <v>37933</v>
      </c>
      <c r="G57" s="26">
        <f t="shared" si="3"/>
        <v>1.5441260278433608</v>
      </c>
    </row>
    <row r="58" spans="1:7" ht="44.25" customHeight="1">
      <c r="A58" s="48"/>
      <c r="B58" s="49"/>
      <c r="C58" s="37" t="str">
        <f>'Monev rencana aksi'!C60:J60</f>
        <v>Persentase tenaga yang mendapat pelatihan minimal 20 jam (SPM RS)</v>
      </c>
      <c r="D58" s="67">
        <f>'Monev rencana aksi'!D60</f>
        <v>60</v>
      </c>
      <c r="E58" s="147" t="str">
        <f>'Monev rencana aksi'!E59</f>
        <v>Pasien</v>
      </c>
      <c r="F58" s="33">
        <f>'Monev rencana aksi'!X60</f>
        <v>2.8</v>
      </c>
      <c r="G58" s="26">
        <f t="shared" si="3"/>
        <v>4.6666666666666662E-2</v>
      </c>
    </row>
    <row r="59" spans="1:7" ht="31.5" customHeight="1">
      <c r="A59" s="59">
        <f>'Monev rencana aksi'!A61</f>
        <v>14</v>
      </c>
      <c r="B59" s="44" t="str">
        <f>'Monev rencana aksi'!B61</f>
        <v xml:space="preserve">Meningkatnya kualitas penanganan penyakit dan jaminan kesehatan masyarakat </v>
      </c>
      <c r="C59" s="37" t="str">
        <f>'Monev rencana aksi'!C61:J61</f>
        <v>Jumlah Kunjungan Pasien Rawat Jalan</v>
      </c>
      <c r="D59" s="67">
        <f>'Monev rencana aksi'!D61</f>
        <v>85</v>
      </c>
      <c r="E59" s="147" t="str">
        <f>'Monev rencana aksi'!E61</f>
        <v>%</v>
      </c>
      <c r="F59" s="33">
        <f>'Monev rencana aksi'!X61</f>
        <v>90</v>
      </c>
      <c r="G59" s="26">
        <f t="shared" si="3"/>
        <v>1.0588235294117647</v>
      </c>
    </row>
    <row r="60" spans="1:7" ht="35.25" customHeight="1">
      <c r="A60" s="48"/>
      <c r="B60" s="49"/>
      <c r="C60" s="37" t="str">
        <f>'Monev rencana aksi'!C62:J62</f>
        <v>Pelayanan kesehatan dasar dan pengembangan puskesmas</v>
      </c>
      <c r="D60" s="67">
        <f>'Monev rencana aksi'!D62</f>
        <v>3</v>
      </c>
      <c r="E60" s="147" t="str">
        <f>'Monev rencana aksi'!E62</f>
        <v>%</v>
      </c>
      <c r="F60" s="33">
        <f>'Monev rencana aksi'!X62</f>
        <v>3</v>
      </c>
      <c r="G60" s="26">
        <f t="shared" si="3"/>
        <v>1</v>
      </c>
    </row>
    <row r="61" spans="1:7" ht="21.75" customHeight="1">
      <c r="A61" s="59">
        <f>'Monev rencana aksi'!A63</f>
        <v>15</v>
      </c>
      <c r="B61" s="44" t="str">
        <f>'Monev rencana aksi'!B63</f>
        <v>Meningkatnya kualitas pelayanan kesehatan Ibu, Anak dan Gizi</v>
      </c>
      <c r="C61" s="37" t="str">
        <f>'Monev rencana aksi'!C63:J63</f>
        <v>Pemantauan Status Gizi</v>
      </c>
      <c r="D61" s="67">
        <f>'Monev rencana aksi'!D63</f>
        <v>100</v>
      </c>
      <c r="E61" s="147" t="str">
        <f>'Monev rencana aksi'!E63</f>
        <v>%</v>
      </c>
      <c r="F61" s="33">
        <f>'Monev rencana aksi'!X63</f>
        <v>100</v>
      </c>
      <c r="G61" s="26">
        <f t="shared" si="3"/>
        <v>1</v>
      </c>
    </row>
    <row r="62" spans="1:7" ht="30.75" customHeight="1">
      <c r="A62" s="48"/>
      <c r="B62" s="49"/>
      <c r="C62" s="37" t="str">
        <f>'Monev rencana aksi'!C64:J64</f>
        <v>Cakupan balita gizi buruk yang mendapatkan perawatan</v>
      </c>
      <c r="D62" s="67">
        <f>'Monev rencana aksi'!D64</f>
        <v>1</v>
      </c>
      <c r="E62" s="147" t="str">
        <f>'Monev rencana aksi'!E64</f>
        <v>kasus</v>
      </c>
      <c r="F62" s="34">
        <f>'Monev rencana aksi'!X64</f>
        <v>1.25</v>
      </c>
      <c r="G62" s="26">
        <v>1</v>
      </c>
    </row>
    <row r="63" spans="1:7" ht="46.5" customHeight="1">
      <c r="A63" s="59">
        <f>'Monev rencana aksi'!A65</f>
        <v>16</v>
      </c>
      <c r="B63" s="44" t="str">
        <f>'Monev rencana aksi'!B65</f>
        <v>Meningkatnya pola hidup sehat, keberdayaan masyarakat dalam masalah kesehatan dan kesling</v>
      </c>
      <c r="C63" s="37" t="str">
        <f>'Monev rencana aksi'!C65:J65</f>
        <v>Persentase penduduk yang menggunakan air minum layak dan berkelanjutan</v>
      </c>
      <c r="D63" s="67">
        <f>'Monev rencana aksi'!D65</f>
        <v>100</v>
      </c>
      <c r="E63" s="147" t="str">
        <f>'Monev rencana aksi'!E65</f>
        <v>%</v>
      </c>
      <c r="F63" s="33">
        <f>'Monev rencana aksi'!X65</f>
        <v>98.17</v>
      </c>
      <c r="G63" s="26">
        <f t="shared" si="3"/>
        <v>0.98170000000000002</v>
      </c>
    </row>
    <row r="64" spans="1:7" ht="30.75" customHeight="1">
      <c r="A64" s="48"/>
      <c r="B64" s="49"/>
      <c r="C64" s="37" t="str">
        <f>'Monev rencana aksi'!C66:J66</f>
        <v>Persentase terjaminnya keamanan makanan</v>
      </c>
      <c r="D64" s="67">
        <f>'Monev rencana aksi'!D66</f>
        <v>100</v>
      </c>
      <c r="E64" s="147" t="str">
        <f>'Monev rencana aksi'!E66</f>
        <v>%</v>
      </c>
      <c r="F64" s="33">
        <f>'Monev rencana aksi'!X66</f>
        <v>100</v>
      </c>
      <c r="G64" s="26">
        <f t="shared" si="3"/>
        <v>1</v>
      </c>
    </row>
    <row r="65" spans="1:7" ht="33" customHeight="1">
      <c r="A65" s="59">
        <f>'Monev rencana aksi'!A67</f>
        <v>17</v>
      </c>
      <c r="B65" s="44" t="str">
        <f>'Monev rencana aksi'!B67</f>
        <v>Meningkatnya akses dan mutu penyelenggaraan wajib belajar 12 tahun</v>
      </c>
      <c r="C65" s="37" t="str">
        <f>'Monev rencana aksi'!C67:J67</f>
        <v>Guru berkualifikasi S1/D.IV di semua jenjang pendidikan</v>
      </c>
      <c r="D65" s="67">
        <f>'Monev rencana aksi'!D67</f>
        <v>94.5</v>
      </c>
      <c r="E65" s="147" t="str">
        <f>'Monev rencana aksi'!E67</f>
        <v>%</v>
      </c>
      <c r="F65" s="33">
        <f>'Monev rencana aksi'!X67</f>
        <v>94.5</v>
      </c>
      <c r="G65" s="26">
        <f t="shared" si="3"/>
        <v>1</v>
      </c>
    </row>
    <row r="66" spans="1:7" ht="33" customHeight="1">
      <c r="A66" s="48"/>
      <c r="B66" s="49"/>
      <c r="C66" s="37" t="str">
        <f>'Monev rencana aksi'!C68:J68</f>
        <v>Guru bersertifikasi di semua jenjang pendidikan</v>
      </c>
      <c r="D66" s="67">
        <f>'Monev rencana aksi'!D68</f>
        <v>51</v>
      </c>
      <c r="E66" s="147" t="str">
        <f>'Monev rencana aksi'!E68</f>
        <v>%</v>
      </c>
      <c r="F66" s="33">
        <f>'Monev rencana aksi'!X68</f>
        <v>51</v>
      </c>
      <c r="G66" s="26">
        <f t="shared" ref="G66" si="6">F66/D66*100%</f>
        <v>1</v>
      </c>
    </row>
    <row r="67" spans="1:7" ht="103.5" customHeight="1">
      <c r="A67" s="47">
        <f>'Monev rencana aksi'!A69</f>
        <v>18</v>
      </c>
      <c r="B67" s="44" t="str">
        <f>'Monev rencana aksi'!B69</f>
        <v>Berkembang nya Pendidikan Tinggi</v>
      </c>
      <c r="C67" s="44" t="str">
        <f>'Monev rencana aksi'!C69</f>
        <v>Ketersediaan Sarana dan Prasarana Perkuliahan yang berkwalitas dan memadai serta kwalifikasi/kwalitas tenaga pendidik (Dosen) dan kependidikan yang berkompetensi</v>
      </c>
      <c r="D67" s="44">
        <f>'Monev rencana aksi'!D69</f>
        <v>70</v>
      </c>
      <c r="E67" s="152" t="str">
        <f>'Monev rencana aksi'!E69</f>
        <v>%</v>
      </c>
      <c r="F67" s="44">
        <f>'Monev rencana aksi'!X69</f>
        <v>76</v>
      </c>
      <c r="G67" s="35">
        <f t="shared" si="3"/>
        <v>1.0857142857142856</v>
      </c>
    </row>
    <row r="68" spans="1:7" ht="60" customHeight="1">
      <c r="A68" s="59">
        <v>19</v>
      </c>
      <c r="B68" s="44" t="str">
        <f>'Monev rencana aksi'!B70</f>
        <v>Meningkatnya kualitas pelaksanaan nilai-nilai ajaran agama dalam masyarakat</v>
      </c>
      <c r="C68" s="44" t="str">
        <f>'Monev rencana aksi'!C70</f>
        <v>Persentase Kesejahteraan Imam, Petugas Syara, Guru TPA, Muballigh,Tassbeh dan KIPRA</v>
      </c>
      <c r="D68" s="44">
        <f>'Monev rencana aksi'!D70</f>
        <v>100</v>
      </c>
      <c r="E68" s="152" t="str">
        <f>'Monev rencana aksi'!E70</f>
        <v>%</v>
      </c>
      <c r="F68" s="44">
        <f>'Monev rencana aksi'!X70</f>
        <v>41</v>
      </c>
      <c r="G68" s="26">
        <f t="shared" ref="G68" si="7">F68/D68*100%</f>
        <v>0.41</v>
      </c>
    </row>
    <row r="69" spans="1:7" ht="30.75" customHeight="1">
      <c r="A69" s="59">
        <f>'Monev rencana aksi'!A71</f>
        <v>20</v>
      </c>
      <c r="B69" s="234" t="str">
        <f>'Monev rencana aksi'!B71</f>
        <v>Meningkatnya kapasitas dan kualitas daya dukung jalan dan    jembatan terhadap wilayah  sentra produksi pertanian  dan kawasan  cepat tumbuh</v>
      </c>
      <c r="C69" s="44" t="str">
        <f>'Monev rencana aksi'!C71</f>
        <v>Proporsi panjang jaringan jalan dalam kondisi baik</v>
      </c>
      <c r="D69" s="44">
        <f>'Monev rencana aksi'!D71</f>
        <v>90.93</v>
      </c>
      <c r="E69" s="152" t="str">
        <f>'Monev rencana aksi'!E71</f>
        <v>%</v>
      </c>
      <c r="F69" s="44">
        <f>'Monev rencana aksi'!X71</f>
        <v>90.93</v>
      </c>
      <c r="G69" s="196">
        <f t="shared" si="3"/>
        <v>1</v>
      </c>
    </row>
    <row r="70" spans="1:7" ht="30.75" customHeight="1">
      <c r="A70" s="60"/>
      <c r="B70" s="235"/>
      <c r="C70" s="44" t="str">
        <f>'Monev rencana aksi'!C72</f>
        <v>Terlaksanya pembangunan  Drainase/ Gorong- Gorong</v>
      </c>
      <c r="D70" s="44">
        <f>'Monev rencana aksi'!D72</f>
        <v>98.19</v>
      </c>
      <c r="E70" s="152" t="str">
        <f>'Monev rencana aksi'!E72</f>
        <v>%</v>
      </c>
      <c r="F70" s="44">
        <f>'Monev rencana aksi'!X72</f>
        <v>98.19</v>
      </c>
      <c r="G70" s="193">
        <f t="shared" si="3"/>
        <v>1</v>
      </c>
    </row>
    <row r="71" spans="1:7" ht="32.25" customHeight="1">
      <c r="A71" s="60"/>
      <c r="B71" s="55"/>
      <c r="C71" s="44" t="str">
        <f>'Monev rencana aksi'!C73</f>
        <v>Terbangunnya Talud untuk memperkuat Infrastruktur jalan</v>
      </c>
      <c r="D71" s="44">
        <f>'Monev rencana aksi'!D73</f>
        <v>31.48</v>
      </c>
      <c r="E71" s="152" t="str">
        <f>'Monev rencana aksi'!E73</f>
        <v>%</v>
      </c>
      <c r="F71" s="44">
        <f>'Monev rencana aksi'!X73</f>
        <v>31.48</v>
      </c>
      <c r="G71" s="193">
        <f t="shared" si="3"/>
        <v>1</v>
      </c>
    </row>
    <row r="72" spans="1:7" ht="18.75" customHeight="1">
      <c r="A72" s="60"/>
      <c r="B72" s="55"/>
      <c r="C72" s="44" t="str">
        <f>'Monev rencana aksi'!C74</f>
        <v>Terpeliharanya  Jalan Dan Jembatan</v>
      </c>
      <c r="D72" s="44">
        <f>'Monev rencana aksi'!D74</f>
        <v>16.5</v>
      </c>
      <c r="E72" s="152" t="str">
        <f>'Monev rencana aksi'!E74</f>
        <v>%</v>
      </c>
      <c r="F72" s="181">
        <f>'Monev rencana aksi'!X74</f>
        <v>16.5</v>
      </c>
      <c r="G72" s="193">
        <f t="shared" si="3"/>
        <v>1</v>
      </c>
    </row>
    <row r="73" spans="1:7" ht="48.75" customHeight="1">
      <c r="A73" s="48"/>
      <c r="B73" s="49"/>
      <c r="C73" s="44" t="str">
        <f>'Monev rencana aksi'!C75</f>
        <v>Terbangunnya Infrastruktur Jalan di wilayah Strategis Khususnya di Perdesaan</v>
      </c>
      <c r="D73" s="44">
        <f>'Monev rencana aksi'!D75</f>
        <v>35</v>
      </c>
      <c r="E73" s="152" t="str">
        <f>'Monev rencana aksi'!E75</f>
        <v>%</v>
      </c>
      <c r="F73" s="181">
        <f>'Monev rencana aksi'!X75</f>
        <v>35</v>
      </c>
      <c r="G73" s="193">
        <f t="shared" si="3"/>
        <v>1</v>
      </c>
    </row>
    <row r="74" spans="1:7" ht="18.75" customHeight="1">
      <c r="A74" s="59">
        <f>'Monev rencana aksi'!A76</f>
        <v>21</v>
      </c>
      <c r="B74" s="234" t="str">
        <f>'Monev rencana aksi'!B76</f>
        <v>Meningkatnya ketersediaan infrastruktur permukiman, sanitasi dan air bersih yang berkualitas</v>
      </c>
      <c r="C74" s="44" t="str">
        <f>'Monev rencana aksi'!C76</f>
        <v xml:space="preserve">Jumlah Dokumen Perencanaan </v>
      </c>
      <c r="D74" s="154">
        <f>'Monev rencana aksi'!D76</f>
        <v>2</v>
      </c>
      <c r="E74" s="152" t="str">
        <f>'Monev rencana aksi'!E76</f>
        <v>Dokumen</v>
      </c>
      <c r="F74" s="44">
        <f>'Monev rencana aksi'!X76</f>
        <v>2</v>
      </c>
      <c r="G74" s="193">
        <f t="shared" si="3"/>
        <v>1</v>
      </c>
    </row>
    <row r="75" spans="1:7" ht="28.5" customHeight="1">
      <c r="A75" s="60"/>
      <c r="B75" s="235"/>
      <c r="C75" s="44" t="str">
        <f>'Monev rencana aksi'!C77</f>
        <v>Persentase Rumah Tangga bersanitasi</v>
      </c>
      <c r="D75" s="154">
        <f>'Monev rencana aksi'!D77</f>
        <v>88.4</v>
      </c>
      <c r="E75" s="152" t="str">
        <f>'Monev rencana aksi'!E77</f>
        <v>%</v>
      </c>
      <c r="F75" s="44">
        <f>'Monev rencana aksi'!X77</f>
        <v>88.4</v>
      </c>
      <c r="G75" s="193">
        <f t="shared" si="3"/>
        <v>1</v>
      </c>
    </row>
    <row r="76" spans="1:7" ht="30.75" customHeight="1">
      <c r="A76" s="60"/>
      <c r="B76" s="55"/>
      <c r="C76" s="44" t="str">
        <f>'Monev rencana aksi'!C78</f>
        <v>Ratio rumah layak huni yang dibangun</v>
      </c>
      <c r="D76" s="154">
        <f>'Monev rencana aksi'!D78</f>
        <v>36.630000000000003</v>
      </c>
      <c r="E76" s="152" t="str">
        <f>'Monev rencana aksi'!E78</f>
        <v>%</v>
      </c>
      <c r="F76" s="44">
        <f>'Monev rencana aksi'!X78</f>
        <v>36.630000000000003</v>
      </c>
      <c r="G76" s="193">
        <f t="shared" si="3"/>
        <v>1</v>
      </c>
    </row>
    <row r="77" spans="1:7" ht="16.5" customHeight="1">
      <c r="A77" s="60"/>
      <c r="B77" s="55"/>
      <c r="C77" s="44" t="str">
        <f>'Monev rencana aksi'!C79</f>
        <v>Cakupan Layanan Air Minum Perdesaan</v>
      </c>
      <c r="D77" s="154">
        <f>'Monev rencana aksi'!D79</f>
        <v>82.9</v>
      </c>
      <c r="E77" s="152" t="str">
        <f>'Monev rencana aksi'!E79</f>
        <v>%</v>
      </c>
      <c r="F77" s="44">
        <f>'Monev rencana aksi'!X79</f>
        <v>82.9</v>
      </c>
      <c r="G77" s="193">
        <f t="shared" si="3"/>
        <v>1</v>
      </c>
    </row>
    <row r="78" spans="1:7" ht="29.25" customHeight="1">
      <c r="A78" s="60"/>
      <c r="B78" s="55"/>
      <c r="C78" s="44" t="str">
        <f>'Monev rencana aksi'!C80</f>
        <v>Luas Kawasan Kumuh Perkotaan</v>
      </c>
      <c r="D78" s="154">
        <f>'Monev rencana aksi'!D80</f>
        <v>1.96</v>
      </c>
      <c r="E78" s="152" t="str">
        <f>'Monev rencana aksi'!E80</f>
        <v>Ha</v>
      </c>
      <c r="F78" s="44">
        <f>'Monev rencana aksi'!X80</f>
        <v>1.96</v>
      </c>
      <c r="G78" s="193">
        <f t="shared" si="3"/>
        <v>1</v>
      </c>
    </row>
    <row r="79" spans="1:7" ht="30" customHeight="1">
      <c r="A79" s="60"/>
      <c r="B79" s="55"/>
      <c r="C79" s="44" t="str">
        <f>'Monev rencana aksi'!C81</f>
        <v>Meningkatnya nilai asset Pemerintah Daerah</v>
      </c>
      <c r="D79" s="154">
        <f>'Monev rencana aksi'!D81</f>
        <v>8</v>
      </c>
      <c r="E79" s="152" t="str">
        <f>'Monev rencana aksi'!E81</f>
        <v>Lokasi</v>
      </c>
      <c r="F79" s="44">
        <f>'Monev rencana aksi'!X81</f>
        <v>8</v>
      </c>
      <c r="G79" s="193">
        <f t="shared" si="3"/>
        <v>1</v>
      </c>
    </row>
    <row r="80" spans="1:7" ht="47.25" customHeight="1">
      <c r="A80" s="60"/>
      <c r="B80" s="55"/>
      <c r="C80" s="44" t="str">
        <f>'Monev rencana aksi'!C82</f>
        <v>Meningkatnya pengendalian pencemaran pada media air, tanah, dan udara</v>
      </c>
      <c r="D80" s="154">
        <f>'Monev rencana aksi'!D82</f>
        <v>8</v>
      </c>
      <c r="E80" s="152" t="str">
        <f>'Monev rencana aksi'!E82</f>
        <v>Sungai/ Danau</v>
      </c>
      <c r="F80" s="44">
        <f>'Monev rencana aksi'!X82</f>
        <v>8</v>
      </c>
      <c r="G80" s="194">
        <f t="shared" si="3"/>
        <v>1</v>
      </c>
    </row>
    <row r="81" spans="1:7" ht="45.75" customHeight="1">
      <c r="A81" s="60"/>
      <c r="B81" s="55"/>
      <c r="C81" s="55" t="str">
        <f>'Monev rencana aksi'!C83</f>
        <v>Tersedianya sarana dan prasarana pengelolaan persampahan</v>
      </c>
      <c r="D81" s="188">
        <f>'Monev rencana aksi'!D83</f>
        <v>1</v>
      </c>
      <c r="E81" s="182" t="str">
        <f>'Monev rencana aksi'!E83</f>
        <v>Unit</v>
      </c>
      <c r="F81" s="55">
        <f>'Monev rencana aksi'!X83</f>
        <v>1</v>
      </c>
      <c r="G81" s="195">
        <f t="shared" si="3"/>
        <v>1</v>
      </c>
    </row>
    <row r="82" spans="1:7" ht="45" customHeight="1">
      <c r="A82" s="48"/>
      <c r="B82" s="49"/>
      <c r="C82" s="44" t="str">
        <f>'Monev rencana aksi'!C84</f>
        <v>Terpenuhinya Ruang terbuka hijau yang teduh, sejuk dan indah</v>
      </c>
      <c r="D82" s="154">
        <f>'Monev rencana aksi'!D84</f>
        <v>12.75</v>
      </c>
      <c r="E82" s="152" t="str">
        <f>'Monev rencana aksi'!E84</f>
        <v>%</v>
      </c>
      <c r="F82" s="44">
        <f>'Monev rencana aksi'!X84</f>
        <v>12.75</v>
      </c>
      <c r="G82" s="193">
        <f t="shared" si="3"/>
        <v>1</v>
      </c>
    </row>
    <row r="83" spans="1:7" ht="18" customHeight="1">
      <c r="A83" s="59">
        <f>'Monev rencana aksi'!A85</f>
        <v>22</v>
      </c>
      <c r="B83" s="234" t="str">
        <f>'Monev rencana aksi'!B85</f>
        <v>Meningkatnya kualitas dan cakupan layanan daerah irigasi serta pemanfaatan air tanah</v>
      </c>
      <c r="C83" s="44" t="str">
        <f>'Monev rencana aksi'!C85</f>
        <v>Rasio jaringan irigasi</v>
      </c>
      <c r="D83" s="153">
        <f>'Monev rencana aksi'!D85</f>
        <v>3.4</v>
      </c>
      <c r="E83" s="152" t="str">
        <f>'Monev rencana aksi'!E85</f>
        <v>%</v>
      </c>
      <c r="F83" s="44">
        <f>'Monev rencana aksi'!X85</f>
        <v>3.4</v>
      </c>
      <c r="G83" s="193">
        <f t="shared" si="3"/>
        <v>1</v>
      </c>
    </row>
    <row r="84" spans="1:7" ht="16.5" customHeight="1">
      <c r="A84" s="60"/>
      <c r="B84" s="235"/>
      <c r="C84" s="44" t="str">
        <f>'Monev rencana aksi'!C86</f>
        <v>Jumlah Daerah Irigasi</v>
      </c>
      <c r="D84" s="153">
        <f>'Monev rencana aksi'!D86</f>
        <v>4</v>
      </c>
      <c r="E84" s="152" t="str">
        <f>'Monev rencana aksi'!E86</f>
        <v>Jml DI</v>
      </c>
      <c r="F84" s="44">
        <f>'Monev rencana aksi'!X86</f>
        <v>4</v>
      </c>
      <c r="G84" s="193">
        <f t="shared" si="3"/>
        <v>1</v>
      </c>
    </row>
    <row r="85" spans="1:7" ht="32.25" customHeight="1">
      <c r="A85" s="60"/>
      <c r="B85" s="38"/>
      <c r="C85" s="44" t="str">
        <f>'Monev rencana aksi'!C87</f>
        <v>Cakupan luas layanan areal irigasi yang dialiri</v>
      </c>
      <c r="D85" s="154">
        <f>'Monev rencana aksi'!D87</f>
        <v>12867</v>
      </c>
      <c r="E85" s="152" t="str">
        <f>'Monev rencana aksi'!E87</f>
        <v>Ha</v>
      </c>
      <c r="F85" s="156">
        <f>'Monev rencana aksi'!X87</f>
        <v>10000</v>
      </c>
      <c r="G85" s="193">
        <f t="shared" si="3"/>
        <v>0.77718193829175408</v>
      </c>
    </row>
    <row r="86" spans="1:7" ht="30.75" customHeight="1">
      <c r="A86" s="60"/>
      <c r="B86" s="38"/>
      <c r="C86" s="44" t="str">
        <f>'Monev rencana aksi'!C88</f>
        <v>Luas  irigasi  kabupaten  dalam  kondisi Baik</v>
      </c>
      <c r="D86" s="154">
        <f>'Monev rencana aksi'!D88</f>
        <v>80</v>
      </c>
      <c r="E86" s="152" t="str">
        <f>'Monev rencana aksi'!E88</f>
        <v>%</v>
      </c>
      <c r="F86" s="155">
        <f>'Monev rencana aksi'!X88</f>
        <v>77.709999999999994</v>
      </c>
      <c r="G86" s="193">
        <f t="shared" si="3"/>
        <v>0.97137499999999988</v>
      </c>
    </row>
    <row r="87" spans="1:7" ht="30" customHeight="1">
      <c r="A87" s="48"/>
      <c r="B87" s="49"/>
      <c r="C87" s="44" t="str">
        <f>'Monev rencana aksi'!C89</f>
        <v>Cakupan areal      terdampak yang tertangani</v>
      </c>
      <c r="D87" s="154">
        <f>'Monev rencana aksi'!D89</f>
        <v>7000</v>
      </c>
      <c r="E87" s="152" t="str">
        <f>'Monev rencana aksi'!E89</f>
        <v>Ha</v>
      </c>
      <c r="F87" s="155">
        <f>'Monev rencana aksi'!X89</f>
        <v>5900</v>
      </c>
      <c r="G87" s="193">
        <f t="shared" si="3"/>
        <v>0.84285714285714286</v>
      </c>
    </row>
    <row r="88" spans="1:7" ht="20.25" customHeight="1">
      <c r="A88" s="48"/>
      <c r="B88" s="251" t="s">
        <v>10</v>
      </c>
      <c r="C88" s="251"/>
      <c r="D88" s="197"/>
      <c r="E88" s="198"/>
      <c r="F88" s="27"/>
      <c r="G88" s="199">
        <f>AVERAGE(G9:G87)</f>
        <v>1.5579371359203009</v>
      </c>
    </row>
    <row r="89" spans="1:7" ht="8.25" customHeight="1">
      <c r="A89" s="172"/>
      <c r="B89" s="225"/>
      <c r="C89" s="225"/>
      <c r="D89" s="226"/>
      <c r="E89" s="227"/>
      <c r="F89" s="228"/>
      <c r="G89" s="229"/>
    </row>
    <row r="90" spans="1:7" ht="15" customHeight="1">
      <c r="A90" s="58"/>
      <c r="B90" s="174"/>
      <c r="C90" s="175"/>
      <c r="D90" s="248" t="s">
        <v>168</v>
      </c>
      <c r="E90" s="248"/>
      <c r="F90" s="248"/>
      <c r="G90" s="40"/>
    </row>
    <row r="91" spans="1:7" ht="15" customHeight="1">
      <c r="A91" s="40"/>
      <c r="B91" s="148"/>
      <c r="C91" s="148"/>
      <c r="D91" s="249" t="s">
        <v>65</v>
      </c>
      <c r="E91" s="249"/>
      <c r="F91" s="249"/>
      <c r="G91" s="40"/>
    </row>
    <row r="92" spans="1:7" ht="15" customHeight="1">
      <c r="A92" s="40"/>
      <c r="B92" s="115"/>
      <c r="C92" s="148"/>
      <c r="D92" s="248" t="s">
        <v>64</v>
      </c>
      <c r="E92" s="248"/>
      <c r="F92" s="248"/>
      <c r="G92" s="40"/>
    </row>
    <row r="93" spans="1:7" ht="24.75" customHeight="1">
      <c r="A93" s="40"/>
      <c r="B93" s="115"/>
      <c r="C93" s="148"/>
      <c r="D93" s="222"/>
      <c r="E93" s="223"/>
      <c r="F93" s="224"/>
      <c r="G93" s="40"/>
    </row>
    <row r="94" spans="1:7" ht="15" customHeight="1">
      <c r="A94" s="40"/>
      <c r="B94" s="115"/>
      <c r="C94" s="148"/>
      <c r="D94" s="250" t="s">
        <v>66</v>
      </c>
      <c r="E94" s="250"/>
      <c r="F94" s="250"/>
      <c r="G94" s="40"/>
    </row>
    <row r="95" spans="1:7" ht="15" customHeight="1">
      <c r="A95" s="40"/>
      <c r="B95" s="115"/>
      <c r="C95" s="148"/>
      <c r="D95" s="248" t="s">
        <v>67</v>
      </c>
      <c r="E95" s="248"/>
      <c r="F95" s="248"/>
      <c r="G95" s="40"/>
    </row>
    <row r="96" spans="1:7" ht="15" customHeight="1">
      <c r="A96" s="40"/>
      <c r="B96" s="177"/>
      <c r="C96" s="178"/>
      <c r="D96" s="248" t="s">
        <v>68</v>
      </c>
      <c r="E96" s="248"/>
      <c r="F96" s="248"/>
      <c r="G96" s="40"/>
    </row>
    <row r="97" spans="1:7">
      <c r="A97" s="40"/>
      <c r="B97" s="148"/>
      <c r="C97" s="148"/>
      <c r="D97" s="58"/>
      <c r="E97" s="58"/>
      <c r="F97" s="40"/>
      <c r="G97" s="40"/>
    </row>
    <row r="98" spans="1:7">
      <c r="A98" s="40"/>
      <c r="B98" s="148"/>
      <c r="C98" s="148"/>
      <c r="D98" s="58"/>
      <c r="E98" s="58"/>
      <c r="F98" s="40"/>
      <c r="G98" s="40"/>
    </row>
    <row r="99" spans="1:7">
      <c r="A99" s="40"/>
      <c r="B99" s="40"/>
      <c r="C99" s="40"/>
      <c r="D99" s="40"/>
      <c r="E99" s="40"/>
      <c r="F99" s="40"/>
      <c r="G99" s="40"/>
    </row>
    <row r="100" spans="1:7">
      <c r="A100" s="40"/>
      <c r="B100" s="40"/>
      <c r="C100" s="40"/>
      <c r="D100" s="40"/>
      <c r="E100" s="40"/>
      <c r="F100" s="40"/>
      <c r="G100" s="40"/>
    </row>
    <row r="101" spans="1:7">
      <c r="A101" s="40"/>
      <c r="B101" s="40"/>
      <c r="C101" s="40"/>
      <c r="D101" s="40"/>
      <c r="E101" s="40"/>
      <c r="F101" s="40"/>
      <c r="G101" s="40"/>
    </row>
    <row r="102" spans="1:7">
      <c r="A102" s="40"/>
      <c r="B102" s="40"/>
      <c r="C102" s="40"/>
      <c r="D102" s="40"/>
      <c r="E102" s="40"/>
      <c r="F102" s="40"/>
      <c r="G102" s="40"/>
    </row>
    <row r="103" spans="1:7">
      <c r="A103" s="40"/>
      <c r="B103" s="40"/>
      <c r="C103" s="40"/>
      <c r="D103" s="40"/>
      <c r="E103" s="40"/>
      <c r="F103" s="40"/>
      <c r="G103" s="40"/>
    </row>
    <row r="104" spans="1:7">
      <c r="A104" s="40"/>
      <c r="B104" s="40"/>
      <c r="C104" s="40"/>
      <c r="D104" s="40"/>
      <c r="E104" s="40"/>
      <c r="F104" s="40"/>
      <c r="G104" s="40"/>
    </row>
    <row r="105" spans="1:7">
      <c r="A105" s="40"/>
      <c r="B105" s="40"/>
      <c r="C105" s="40"/>
      <c r="D105" s="40"/>
      <c r="E105" s="40"/>
      <c r="F105" s="40"/>
      <c r="G105" s="40"/>
    </row>
    <row r="106" spans="1:7">
      <c r="A106" s="40"/>
      <c r="B106" s="40"/>
      <c r="C106" s="40"/>
      <c r="D106" s="40"/>
      <c r="E106" s="40"/>
      <c r="F106" s="40"/>
      <c r="G106" s="40"/>
    </row>
    <row r="107" spans="1:7">
      <c r="A107" s="40"/>
      <c r="B107" s="40"/>
      <c r="C107" s="40"/>
      <c r="D107" s="40"/>
      <c r="E107" s="40"/>
      <c r="F107" s="40"/>
      <c r="G107" s="40"/>
    </row>
    <row r="108" spans="1:7">
      <c r="A108" s="40"/>
      <c r="B108" s="40"/>
      <c r="C108" s="40"/>
      <c r="D108" s="40"/>
      <c r="E108" s="40"/>
      <c r="F108" s="40"/>
      <c r="G108" s="40"/>
    </row>
    <row r="109" spans="1:7">
      <c r="A109" s="40"/>
      <c r="B109" s="40"/>
      <c r="C109" s="40"/>
      <c r="D109" s="40"/>
      <c r="E109" s="40"/>
      <c r="F109" s="40"/>
      <c r="G109" s="40"/>
    </row>
    <row r="110" spans="1:7">
      <c r="A110" s="40"/>
      <c r="B110" s="40"/>
      <c r="C110" s="40"/>
      <c r="D110" s="40"/>
      <c r="E110" s="40"/>
      <c r="F110" s="40"/>
      <c r="G110" s="40"/>
    </row>
    <row r="111" spans="1:7">
      <c r="A111" s="40"/>
      <c r="B111" s="40"/>
      <c r="C111" s="40"/>
      <c r="D111" s="40"/>
      <c r="E111" s="40"/>
      <c r="F111" s="40"/>
      <c r="G111" s="40"/>
    </row>
    <row r="112" spans="1:7">
      <c r="A112" s="40"/>
      <c r="B112" s="40"/>
      <c r="C112" s="40"/>
      <c r="D112" s="40"/>
      <c r="E112" s="40"/>
      <c r="F112" s="40"/>
      <c r="G112" s="40"/>
    </row>
    <row r="113" spans="1:7">
      <c r="A113" s="40"/>
      <c r="B113" s="40"/>
      <c r="C113" s="40"/>
      <c r="D113" s="40"/>
      <c r="E113" s="40"/>
      <c r="F113" s="40"/>
      <c r="G113" s="40"/>
    </row>
    <row r="114" spans="1:7">
      <c r="A114" s="40"/>
      <c r="B114" s="40"/>
      <c r="C114" s="40"/>
      <c r="D114" s="40"/>
      <c r="E114" s="40"/>
      <c r="F114" s="40"/>
      <c r="G114" s="40"/>
    </row>
    <row r="115" spans="1:7">
      <c r="A115" s="40"/>
      <c r="B115" s="40"/>
      <c r="C115" s="40"/>
      <c r="D115" s="40"/>
      <c r="E115" s="40"/>
      <c r="F115" s="40"/>
      <c r="G115" s="40"/>
    </row>
    <row r="116" spans="1:7">
      <c r="A116" s="40"/>
      <c r="B116" s="40"/>
      <c r="C116" s="40"/>
      <c r="D116" s="40"/>
      <c r="E116" s="40"/>
      <c r="F116" s="40"/>
      <c r="G116" s="40"/>
    </row>
    <row r="117" spans="1:7">
      <c r="A117" s="40"/>
      <c r="B117" s="40"/>
      <c r="C117" s="40"/>
      <c r="D117" s="40"/>
      <c r="E117" s="40"/>
      <c r="F117" s="40"/>
      <c r="G117" s="40"/>
    </row>
    <row r="118" spans="1:7">
      <c r="A118" s="40"/>
      <c r="B118" s="40"/>
      <c r="C118" s="40"/>
      <c r="D118" s="40"/>
      <c r="E118" s="40"/>
      <c r="F118" s="40"/>
      <c r="G118" s="40"/>
    </row>
    <row r="119" spans="1:7">
      <c r="A119" s="40"/>
      <c r="B119" s="40"/>
      <c r="C119" s="40"/>
      <c r="D119" s="40"/>
      <c r="E119" s="40"/>
      <c r="F119" s="40"/>
      <c r="G119" s="40"/>
    </row>
    <row r="120" spans="1:7">
      <c r="A120" s="40"/>
      <c r="B120" s="40"/>
      <c r="C120" s="40"/>
      <c r="D120" s="40"/>
      <c r="E120" s="40"/>
      <c r="F120" s="40"/>
      <c r="G120" s="40"/>
    </row>
    <row r="121" spans="1:7">
      <c r="A121" s="40"/>
      <c r="B121" s="40"/>
      <c r="C121" s="40"/>
      <c r="D121" s="40"/>
      <c r="E121" s="40"/>
      <c r="F121" s="40"/>
      <c r="G121" s="40"/>
    </row>
    <row r="122" spans="1:7">
      <c r="A122" s="40"/>
      <c r="B122" s="40"/>
      <c r="C122" s="40"/>
      <c r="D122" s="40"/>
      <c r="E122" s="40"/>
      <c r="F122" s="40"/>
      <c r="G122" s="40"/>
    </row>
    <row r="123" spans="1:7">
      <c r="A123" s="40"/>
      <c r="B123" s="40"/>
      <c r="C123" s="40"/>
      <c r="D123" s="40"/>
      <c r="E123" s="40"/>
      <c r="F123" s="40"/>
      <c r="G123" s="40"/>
    </row>
    <row r="124" spans="1:7">
      <c r="A124" s="40"/>
      <c r="B124" s="40"/>
      <c r="C124" s="40"/>
      <c r="D124" s="40"/>
      <c r="E124" s="40"/>
      <c r="F124" s="40"/>
      <c r="G124" s="40"/>
    </row>
    <row r="125" spans="1:7">
      <c r="A125" s="40"/>
      <c r="B125" s="40"/>
      <c r="C125" s="40"/>
      <c r="D125" s="40"/>
      <c r="E125" s="40"/>
      <c r="F125" s="40"/>
      <c r="G125" s="40"/>
    </row>
    <row r="126" spans="1:7">
      <c r="A126" s="40"/>
      <c r="B126" s="40"/>
      <c r="C126" s="40"/>
      <c r="D126" s="40"/>
      <c r="E126" s="40"/>
      <c r="F126" s="40"/>
      <c r="G126" s="40"/>
    </row>
    <row r="127" spans="1:7">
      <c r="A127" s="40"/>
      <c r="B127" s="40"/>
      <c r="C127" s="40"/>
      <c r="D127" s="40"/>
      <c r="E127" s="40"/>
      <c r="F127" s="40"/>
      <c r="G127" s="40"/>
    </row>
    <row r="128" spans="1:7">
      <c r="A128" s="40"/>
      <c r="B128" s="40"/>
      <c r="C128" s="40"/>
      <c r="D128" s="40"/>
      <c r="E128" s="40"/>
      <c r="F128" s="40"/>
      <c r="G128" s="40"/>
    </row>
    <row r="129" spans="1:7">
      <c r="A129" s="40"/>
      <c r="B129" s="40"/>
      <c r="C129" s="40"/>
      <c r="D129" s="40"/>
      <c r="E129" s="40"/>
      <c r="F129" s="40"/>
      <c r="G129" s="40"/>
    </row>
    <row r="130" spans="1:7">
      <c r="A130" s="40"/>
      <c r="B130" s="40"/>
      <c r="C130" s="40"/>
      <c r="D130" s="40"/>
      <c r="E130" s="40"/>
      <c r="F130" s="40"/>
      <c r="G130" s="40"/>
    </row>
    <row r="131" spans="1:7">
      <c r="A131" s="40"/>
      <c r="B131" s="40"/>
      <c r="C131" s="40"/>
      <c r="D131" s="40"/>
      <c r="E131" s="40"/>
      <c r="F131" s="40"/>
      <c r="G131" s="40"/>
    </row>
    <row r="132" spans="1:7">
      <c r="A132" s="40"/>
      <c r="B132" s="40"/>
      <c r="C132" s="40"/>
      <c r="D132" s="40"/>
      <c r="E132" s="40"/>
      <c r="F132" s="40"/>
      <c r="G132" s="40"/>
    </row>
    <row r="133" spans="1:7">
      <c r="A133" s="40"/>
      <c r="B133" s="40"/>
      <c r="C133" s="40"/>
      <c r="D133" s="40"/>
      <c r="E133" s="40"/>
      <c r="F133" s="40"/>
      <c r="G133" s="40"/>
    </row>
    <row r="134" spans="1:7">
      <c r="A134" s="40"/>
      <c r="B134" s="40"/>
      <c r="C134" s="40"/>
      <c r="D134" s="40"/>
      <c r="E134" s="40"/>
      <c r="F134" s="40"/>
      <c r="G134" s="40"/>
    </row>
    <row r="135" spans="1:7">
      <c r="A135" s="40"/>
      <c r="B135" s="40"/>
      <c r="C135" s="40"/>
      <c r="D135" s="40"/>
      <c r="E135" s="40"/>
      <c r="F135" s="40"/>
      <c r="G135" s="40"/>
    </row>
    <row r="136" spans="1:7">
      <c r="A136" s="40"/>
      <c r="B136" s="40"/>
      <c r="C136" s="40"/>
      <c r="D136" s="40"/>
      <c r="E136" s="40"/>
      <c r="F136" s="40"/>
      <c r="G136" s="40"/>
    </row>
    <row r="137" spans="1:7">
      <c r="A137" s="40"/>
      <c r="B137" s="40"/>
      <c r="C137" s="40"/>
      <c r="D137" s="40"/>
      <c r="E137" s="40"/>
      <c r="F137" s="40"/>
      <c r="G137" s="40"/>
    </row>
    <row r="138" spans="1:7">
      <c r="A138" s="40"/>
      <c r="B138" s="40"/>
      <c r="C138" s="40"/>
      <c r="D138" s="40"/>
      <c r="E138" s="40"/>
      <c r="F138" s="40"/>
      <c r="G138" s="40"/>
    </row>
    <row r="139" spans="1:7">
      <c r="A139" s="40"/>
      <c r="B139" s="40"/>
      <c r="C139" s="40"/>
      <c r="D139" s="40"/>
      <c r="E139" s="40"/>
      <c r="F139" s="40"/>
      <c r="G139" s="40"/>
    </row>
    <row r="140" spans="1:7">
      <c r="A140" s="40"/>
      <c r="B140" s="40"/>
      <c r="C140" s="40"/>
      <c r="D140" s="40"/>
      <c r="E140" s="40"/>
      <c r="F140" s="40"/>
      <c r="G140" s="40"/>
    </row>
    <row r="141" spans="1:7">
      <c r="A141" s="40"/>
      <c r="B141" s="40"/>
      <c r="C141" s="40"/>
      <c r="D141" s="40"/>
      <c r="E141" s="40"/>
      <c r="F141" s="40"/>
      <c r="G141" s="40"/>
    </row>
    <row r="142" spans="1:7">
      <c r="A142" s="40"/>
      <c r="B142" s="40"/>
      <c r="C142" s="40"/>
      <c r="D142" s="40"/>
      <c r="E142" s="40"/>
      <c r="F142" s="40"/>
      <c r="G142" s="40"/>
    </row>
    <row r="143" spans="1:7">
      <c r="A143" s="40"/>
      <c r="B143" s="40"/>
      <c r="C143" s="40"/>
      <c r="D143" s="40"/>
      <c r="E143" s="40"/>
      <c r="F143" s="40"/>
      <c r="G143" s="40"/>
    </row>
    <row r="144" spans="1:7">
      <c r="A144" s="40"/>
      <c r="B144" s="40"/>
      <c r="C144" s="40"/>
      <c r="D144" s="40"/>
      <c r="E144" s="40"/>
      <c r="F144" s="40"/>
      <c r="G144" s="40"/>
    </row>
    <row r="145" spans="1:7">
      <c r="A145" s="40"/>
      <c r="B145" s="40"/>
      <c r="C145" s="40"/>
      <c r="D145" s="40"/>
      <c r="E145" s="40"/>
      <c r="F145" s="40"/>
      <c r="G145" s="40"/>
    </row>
    <row r="146" spans="1:7">
      <c r="A146" s="40"/>
      <c r="B146" s="40"/>
      <c r="C146" s="40"/>
      <c r="D146" s="40"/>
      <c r="E146" s="40"/>
      <c r="F146" s="40"/>
      <c r="G146" s="40"/>
    </row>
    <row r="147" spans="1:7">
      <c r="A147" s="40"/>
      <c r="B147" s="40"/>
      <c r="C147" s="40"/>
      <c r="D147" s="40"/>
      <c r="E147" s="40"/>
      <c r="F147" s="40"/>
      <c r="G147" s="40"/>
    </row>
    <row r="148" spans="1:7">
      <c r="A148" s="40"/>
      <c r="B148" s="40"/>
      <c r="C148" s="40"/>
      <c r="D148" s="40"/>
      <c r="E148" s="40"/>
      <c r="F148" s="40"/>
      <c r="G148" s="40"/>
    </row>
    <row r="149" spans="1:7">
      <c r="A149" s="40"/>
      <c r="B149" s="40"/>
      <c r="C149" s="40"/>
      <c r="D149" s="40"/>
      <c r="E149" s="40"/>
      <c r="F149" s="40"/>
      <c r="G149" s="40"/>
    </row>
    <row r="150" spans="1:7">
      <c r="A150" s="40"/>
      <c r="B150" s="40"/>
      <c r="C150" s="40"/>
      <c r="D150" s="40"/>
      <c r="E150" s="40"/>
      <c r="F150" s="40"/>
      <c r="G150" s="40"/>
    </row>
    <row r="151" spans="1:7">
      <c r="A151" s="40"/>
      <c r="B151" s="40"/>
      <c r="C151" s="40"/>
      <c r="D151" s="40"/>
      <c r="E151" s="40"/>
      <c r="F151" s="40"/>
      <c r="G151" s="40"/>
    </row>
    <row r="152" spans="1:7">
      <c r="A152" s="40"/>
      <c r="B152" s="40"/>
      <c r="C152" s="40"/>
      <c r="D152" s="40"/>
      <c r="E152" s="40"/>
      <c r="F152" s="40"/>
      <c r="G152" s="40"/>
    </row>
    <row r="153" spans="1:7">
      <c r="A153" s="40"/>
      <c r="B153" s="40"/>
      <c r="C153" s="40"/>
      <c r="D153" s="40"/>
      <c r="E153" s="40"/>
      <c r="F153" s="40"/>
      <c r="G153" s="40"/>
    </row>
    <row r="154" spans="1:7">
      <c r="A154" s="40"/>
      <c r="B154" s="40"/>
      <c r="C154" s="40"/>
      <c r="D154" s="40"/>
      <c r="E154" s="40"/>
      <c r="F154" s="40"/>
      <c r="G154" s="40"/>
    </row>
    <row r="155" spans="1:7">
      <c r="A155" s="40"/>
      <c r="B155" s="40"/>
      <c r="C155" s="40"/>
      <c r="D155" s="40"/>
      <c r="E155" s="40"/>
      <c r="F155" s="40"/>
      <c r="G155" s="40"/>
    </row>
    <row r="156" spans="1:7">
      <c r="A156" s="40"/>
      <c r="B156" s="40"/>
      <c r="C156" s="40"/>
      <c r="D156" s="40"/>
      <c r="E156" s="40"/>
      <c r="F156" s="40"/>
      <c r="G156" s="40"/>
    </row>
    <row r="157" spans="1:7">
      <c r="A157" s="40"/>
      <c r="B157" s="40"/>
      <c r="C157" s="40"/>
      <c r="D157" s="40"/>
      <c r="E157" s="40"/>
      <c r="F157" s="40"/>
      <c r="G157" s="40"/>
    </row>
    <row r="158" spans="1:7">
      <c r="A158" s="40"/>
      <c r="B158" s="40"/>
      <c r="C158" s="40"/>
      <c r="D158" s="40"/>
      <c r="E158" s="40"/>
      <c r="F158" s="40"/>
      <c r="G158" s="40"/>
    </row>
    <row r="159" spans="1:7">
      <c r="A159" s="40"/>
      <c r="B159" s="40"/>
      <c r="C159" s="40"/>
      <c r="D159" s="40"/>
      <c r="E159" s="40"/>
      <c r="F159" s="40"/>
      <c r="G159" s="40"/>
    </row>
    <row r="160" spans="1:7">
      <c r="A160" s="40"/>
      <c r="B160" s="40"/>
      <c r="C160" s="40"/>
      <c r="D160" s="40"/>
      <c r="E160" s="40"/>
      <c r="F160" s="40"/>
      <c r="G160" s="40"/>
    </row>
    <row r="161" spans="1:7">
      <c r="A161" s="40"/>
      <c r="B161" s="40"/>
      <c r="C161" s="40"/>
      <c r="D161" s="40"/>
      <c r="E161" s="40"/>
      <c r="F161" s="40"/>
      <c r="G161" s="40"/>
    </row>
    <row r="162" spans="1:7">
      <c r="A162" s="40"/>
      <c r="B162" s="40"/>
      <c r="C162" s="40"/>
      <c r="D162" s="40"/>
      <c r="E162" s="40"/>
      <c r="F162" s="40"/>
      <c r="G162" s="40"/>
    </row>
    <row r="163" spans="1:7">
      <c r="A163" s="40"/>
      <c r="B163" s="40"/>
      <c r="C163" s="40"/>
      <c r="D163" s="40"/>
      <c r="E163" s="40"/>
      <c r="F163" s="40"/>
      <c r="G163" s="40"/>
    </row>
    <row r="164" spans="1:7">
      <c r="A164" s="40"/>
      <c r="B164" s="40"/>
      <c r="C164" s="40"/>
      <c r="D164" s="40"/>
      <c r="E164" s="40"/>
      <c r="F164" s="40"/>
      <c r="G164" s="40"/>
    </row>
    <row r="165" spans="1:7">
      <c r="A165" s="40"/>
      <c r="B165" s="40"/>
      <c r="C165" s="40"/>
      <c r="D165" s="40"/>
      <c r="E165" s="40"/>
      <c r="F165" s="40"/>
      <c r="G165" s="40"/>
    </row>
    <row r="166" spans="1:7">
      <c r="A166" s="40"/>
      <c r="B166" s="40"/>
      <c r="C166" s="40"/>
      <c r="D166" s="40"/>
      <c r="E166" s="40"/>
      <c r="F166" s="40"/>
      <c r="G166" s="40"/>
    </row>
    <row r="167" spans="1:7">
      <c r="A167" s="40"/>
      <c r="B167" s="40"/>
      <c r="C167" s="40"/>
      <c r="D167" s="40"/>
      <c r="E167" s="40"/>
      <c r="F167" s="40"/>
      <c r="G167" s="40"/>
    </row>
    <row r="168" spans="1:7">
      <c r="A168" s="40"/>
      <c r="B168" s="40"/>
      <c r="C168" s="40"/>
      <c r="D168" s="40"/>
      <c r="E168" s="40"/>
      <c r="F168" s="40"/>
      <c r="G168" s="40"/>
    </row>
    <row r="169" spans="1:7">
      <c r="A169" s="40"/>
      <c r="B169" s="40"/>
      <c r="C169" s="40"/>
      <c r="D169" s="40"/>
      <c r="E169" s="40"/>
      <c r="F169" s="40"/>
      <c r="G169" s="40"/>
    </row>
    <row r="170" spans="1:7">
      <c r="A170" s="40"/>
      <c r="B170" s="40"/>
      <c r="C170" s="40"/>
      <c r="D170" s="40"/>
      <c r="E170" s="40"/>
      <c r="F170" s="40"/>
      <c r="G170" s="40"/>
    </row>
    <row r="171" spans="1:7">
      <c r="A171" s="40"/>
      <c r="B171" s="40"/>
      <c r="C171" s="40"/>
      <c r="D171" s="40"/>
      <c r="E171" s="40"/>
      <c r="F171" s="40"/>
      <c r="G171" s="40"/>
    </row>
    <row r="172" spans="1:7">
      <c r="A172" s="40"/>
      <c r="B172" s="40"/>
      <c r="C172" s="40"/>
      <c r="D172" s="40"/>
      <c r="E172" s="40"/>
      <c r="F172" s="40"/>
      <c r="G172" s="40"/>
    </row>
    <row r="173" spans="1:7">
      <c r="A173" s="40"/>
      <c r="B173" s="40"/>
      <c r="C173" s="40"/>
      <c r="D173" s="40"/>
      <c r="E173" s="40"/>
      <c r="F173" s="40"/>
      <c r="G173" s="40"/>
    </row>
    <row r="174" spans="1:7">
      <c r="A174" s="40"/>
      <c r="B174" s="40"/>
      <c r="C174" s="40"/>
      <c r="D174" s="40"/>
      <c r="E174" s="40"/>
      <c r="F174" s="40"/>
      <c r="G174" s="40"/>
    </row>
    <row r="175" spans="1:7">
      <c r="A175" s="40"/>
      <c r="B175" s="40"/>
      <c r="C175" s="40"/>
      <c r="D175" s="40"/>
      <c r="E175" s="40"/>
      <c r="F175" s="40"/>
      <c r="G175" s="40"/>
    </row>
    <row r="176" spans="1:7">
      <c r="A176" s="40"/>
      <c r="B176" s="40"/>
      <c r="C176" s="40"/>
      <c r="D176" s="40"/>
      <c r="E176" s="40"/>
      <c r="F176" s="40"/>
      <c r="G176" s="40"/>
    </row>
    <row r="177" spans="1:7">
      <c r="A177" s="40"/>
      <c r="B177" s="40"/>
      <c r="C177" s="40"/>
      <c r="D177" s="40"/>
      <c r="E177" s="40"/>
      <c r="F177" s="40"/>
      <c r="G177" s="40"/>
    </row>
    <row r="178" spans="1:7">
      <c r="A178" s="40"/>
      <c r="B178" s="40"/>
      <c r="C178" s="40"/>
      <c r="D178" s="40"/>
      <c r="E178" s="40"/>
      <c r="F178" s="40"/>
      <c r="G178" s="40"/>
    </row>
    <row r="179" spans="1:7">
      <c r="A179" s="40"/>
      <c r="B179" s="40"/>
      <c r="C179" s="40"/>
      <c r="D179" s="40"/>
      <c r="E179" s="40"/>
      <c r="F179" s="40"/>
      <c r="G179" s="40"/>
    </row>
    <row r="180" spans="1:7">
      <c r="A180" s="40"/>
      <c r="B180" s="40"/>
      <c r="C180" s="40"/>
      <c r="D180" s="40"/>
      <c r="E180" s="40"/>
      <c r="F180" s="40"/>
      <c r="G180" s="40"/>
    </row>
    <row r="181" spans="1:7">
      <c r="A181" s="40"/>
      <c r="B181" s="40"/>
      <c r="C181" s="40"/>
      <c r="D181" s="40"/>
      <c r="E181" s="40"/>
      <c r="F181" s="40"/>
      <c r="G181" s="40"/>
    </row>
    <row r="182" spans="1:7">
      <c r="A182" s="40"/>
      <c r="B182" s="40"/>
      <c r="C182" s="40"/>
      <c r="D182" s="40"/>
      <c r="E182" s="40"/>
      <c r="F182" s="40"/>
      <c r="G182" s="40"/>
    </row>
    <row r="183" spans="1:7">
      <c r="A183" s="40"/>
      <c r="B183" s="40"/>
      <c r="C183" s="40"/>
      <c r="D183" s="40"/>
      <c r="E183" s="40"/>
      <c r="F183" s="40"/>
      <c r="G183" s="40"/>
    </row>
    <row r="184" spans="1:7">
      <c r="A184" s="40"/>
      <c r="B184" s="40"/>
      <c r="C184" s="40"/>
      <c r="D184" s="40"/>
      <c r="E184" s="40"/>
      <c r="F184" s="40"/>
      <c r="G184" s="40"/>
    </row>
    <row r="185" spans="1:7">
      <c r="A185" s="40"/>
      <c r="B185" s="40"/>
      <c r="C185" s="40"/>
      <c r="D185" s="40"/>
      <c r="E185" s="40"/>
      <c r="F185" s="40"/>
      <c r="G185" s="40"/>
    </row>
    <row r="186" spans="1:7">
      <c r="A186" s="40"/>
      <c r="B186" s="40"/>
      <c r="C186" s="40"/>
      <c r="D186" s="40"/>
      <c r="E186" s="40"/>
      <c r="F186" s="40"/>
      <c r="G186" s="40"/>
    </row>
    <row r="187" spans="1:7">
      <c r="A187" s="40"/>
      <c r="B187" s="40"/>
      <c r="C187" s="40"/>
      <c r="D187" s="40"/>
      <c r="E187" s="40"/>
      <c r="F187" s="40"/>
      <c r="G187" s="40"/>
    </row>
    <row r="188" spans="1:7">
      <c r="A188" s="40"/>
      <c r="B188" s="40"/>
      <c r="C188" s="40"/>
      <c r="D188" s="40"/>
      <c r="E188" s="40"/>
      <c r="F188" s="40"/>
      <c r="G188" s="40"/>
    </row>
    <row r="189" spans="1:7">
      <c r="A189" s="40"/>
      <c r="B189" s="40"/>
      <c r="C189" s="40"/>
      <c r="D189" s="40"/>
      <c r="E189" s="40"/>
      <c r="F189" s="40"/>
      <c r="G189" s="40"/>
    </row>
    <row r="190" spans="1:7">
      <c r="A190" s="40"/>
      <c r="B190" s="40"/>
      <c r="C190" s="40"/>
      <c r="D190" s="40"/>
      <c r="E190" s="40"/>
      <c r="F190" s="40"/>
      <c r="G190" s="40"/>
    </row>
    <row r="191" spans="1:7">
      <c r="A191" s="40"/>
      <c r="B191" s="40"/>
      <c r="C191" s="40"/>
      <c r="D191" s="40"/>
      <c r="E191" s="40"/>
      <c r="F191" s="40"/>
      <c r="G191" s="40"/>
    </row>
    <row r="192" spans="1:7">
      <c r="A192" s="40"/>
      <c r="B192" s="40"/>
      <c r="C192" s="40"/>
      <c r="D192" s="40"/>
      <c r="E192" s="40"/>
      <c r="F192" s="40"/>
      <c r="G192" s="40"/>
    </row>
    <row r="193" spans="1:7">
      <c r="A193" s="40"/>
      <c r="B193" s="40"/>
      <c r="C193" s="40"/>
      <c r="D193" s="40"/>
      <c r="E193" s="40"/>
      <c r="F193" s="40"/>
      <c r="G193" s="40"/>
    </row>
    <row r="194" spans="1:7">
      <c r="A194" s="40"/>
      <c r="B194" s="40"/>
      <c r="C194" s="40"/>
      <c r="D194" s="40"/>
      <c r="E194" s="40"/>
      <c r="F194" s="40"/>
      <c r="G194" s="40"/>
    </row>
    <row r="195" spans="1:7">
      <c r="A195" s="40"/>
      <c r="B195" s="40"/>
      <c r="C195" s="40"/>
      <c r="D195" s="40"/>
      <c r="E195" s="40"/>
      <c r="F195" s="40"/>
      <c r="G195" s="40"/>
    </row>
    <row r="196" spans="1:7">
      <c r="A196" s="40"/>
      <c r="B196" s="40"/>
      <c r="C196" s="40"/>
      <c r="D196" s="40"/>
      <c r="E196" s="40"/>
      <c r="F196" s="40"/>
      <c r="G196" s="40"/>
    </row>
    <row r="197" spans="1:7">
      <c r="A197" s="40"/>
      <c r="B197" s="40"/>
      <c r="C197" s="40"/>
      <c r="D197" s="40"/>
      <c r="E197" s="40"/>
      <c r="F197" s="40"/>
      <c r="G197" s="40"/>
    </row>
    <row r="198" spans="1:7">
      <c r="A198" s="40"/>
      <c r="B198" s="40"/>
      <c r="C198" s="40"/>
      <c r="D198" s="40"/>
      <c r="E198" s="40"/>
      <c r="F198" s="40"/>
      <c r="G198" s="40"/>
    </row>
    <row r="199" spans="1:7">
      <c r="A199" s="40"/>
      <c r="B199" s="40"/>
      <c r="C199" s="40"/>
      <c r="D199" s="40"/>
      <c r="E199" s="40"/>
      <c r="F199" s="40"/>
      <c r="G199" s="40"/>
    </row>
    <row r="200" spans="1:7">
      <c r="A200" s="40"/>
      <c r="B200" s="40"/>
      <c r="C200" s="40"/>
      <c r="D200" s="40"/>
      <c r="E200" s="40"/>
      <c r="F200" s="40"/>
      <c r="G200" s="40"/>
    </row>
    <row r="201" spans="1:7">
      <c r="A201" s="40"/>
      <c r="B201" s="40"/>
      <c r="C201" s="40"/>
      <c r="D201" s="40"/>
      <c r="E201" s="40"/>
      <c r="F201" s="40"/>
      <c r="G201" s="40"/>
    </row>
    <row r="202" spans="1:7">
      <c r="A202" s="40"/>
      <c r="B202" s="40"/>
      <c r="C202" s="40"/>
      <c r="D202" s="40"/>
      <c r="E202" s="40"/>
      <c r="F202" s="40"/>
      <c r="G202" s="40"/>
    </row>
    <row r="203" spans="1:7">
      <c r="A203" s="40"/>
      <c r="B203" s="40"/>
      <c r="C203" s="40"/>
      <c r="D203" s="40"/>
      <c r="E203" s="40"/>
      <c r="F203" s="40"/>
      <c r="G203" s="40"/>
    </row>
    <row r="204" spans="1:7">
      <c r="A204" s="40"/>
      <c r="B204" s="40"/>
      <c r="C204" s="40"/>
      <c r="D204" s="40"/>
      <c r="E204" s="40"/>
      <c r="F204" s="40"/>
      <c r="G204" s="40"/>
    </row>
    <row r="205" spans="1:7">
      <c r="A205" s="40"/>
      <c r="B205" s="40"/>
      <c r="C205" s="40"/>
      <c r="D205" s="40"/>
      <c r="E205" s="40"/>
      <c r="F205" s="40"/>
      <c r="G205" s="40"/>
    </row>
    <row r="206" spans="1:7">
      <c r="A206" s="40"/>
      <c r="B206" s="40"/>
      <c r="C206" s="40"/>
      <c r="D206" s="40"/>
      <c r="E206" s="40"/>
      <c r="F206" s="40"/>
      <c r="G206" s="40"/>
    </row>
    <row r="207" spans="1:7">
      <c r="A207" s="40"/>
      <c r="B207" s="40"/>
      <c r="C207" s="40"/>
      <c r="D207" s="40"/>
      <c r="E207" s="40"/>
      <c r="F207" s="40"/>
      <c r="G207" s="40"/>
    </row>
    <row r="208" spans="1:7">
      <c r="A208" s="40"/>
      <c r="B208" s="40"/>
      <c r="C208" s="40"/>
      <c r="D208" s="40"/>
      <c r="E208" s="40"/>
      <c r="F208" s="40"/>
      <c r="G208" s="40"/>
    </row>
    <row r="209" spans="1:7">
      <c r="A209" s="40"/>
      <c r="B209" s="40"/>
      <c r="C209" s="40"/>
      <c r="D209" s="40"/>
      <c r="E209" s="40"/>
      <c r="F209" s="40"/>
      <c r="G209" s="40"/>
    </row>
    <row r="210" spans="1:7">
      <c r="A210" s="40"/>
      <c r="B210" s="40"/>
      <c r="C210" s="40"/>
      <c r="D210" s="40"/>
      <c r="E210" s="40"/>
      <c r="F210" s="40"/>
      <c r="G210" s="40"/>
    </row>
    <row r="211" spans="1:7">
      <c r="A211" s="40"/>
      <c r="B211" s="40"/>
      <c r="C211" s="40"/>
      <c r="D211" s="40"/>
      <c r="E211" s="40"/>
      <c r="F211" s="40"/>
      <c r="G211" s="40"/>
    </row>
    <row r="212" spans="1:7">
      <c r="A212" s="40"/>
      <c r="B212" s="40"/>
      <c r="C212" s="40"/>
      <c r="D212" s="40"/>
      <c r="E212" s="40"/>
      <c r="F212" s="40"/>
      <c r="G212" s="40"/>
    </row>
    <row r="213" spans="1:7">
      <c r="A213" s="40"/>
      <c r="B213" s="40"/>
      <c r="C213" s="40"/>
      <c r="D213" s="40"/>
      <c r="E213" s="40"/>
      <c r="F213" s="40"/>
      <c r="G213" s="40"/>
    </row>
    <row r="214" spans="1:7">
      <c r="A214" s="40"/>
      <c r="B214" s="40"/>
      <c r="C214" s="40"/>
      <c r="D214" s="40"/>
      <c r="E214" s="40"/>
      <c r="F214" s="40"/>
      <c r="G214" s="40"/>
    </row>
    <row r="215" spans="1:7">
      <c r="A215" s="40"/>
      <c r="B215" s="40"/>
      <c r="C215" s="40"/>
      <c r="D215" s="40"/>
      <c r="E215" s="40"/>
      <c r="F215" s="40"/>
      <c r="G215" s="40"/>
    </row>
    <row r="216" spans="1:7">
      <c r="A216" s="40"/>
      <c r="B216" s="40"/>
      <c r="C216" s="40"/>
      <c r="D216" s="40"/>
      <c r="E216" s="40"/>
      <c r="F216" s="40"/>
      <c r="G216" s="40"/>
    </row>
    <row r="217" spans="1:7">
      <c r="A217" s="40"/>
      <c r="B217" s="40"/>
      <c r="C217" s="40"/>
      <c r="D217" s="40"/>
      <c r="E217" s="40"/>
      <c r="F217" s="40"/>
      <c r="G217" s="40"/>
    </row>
    <row r="218" spans="1:7">
      <c r="A218" s="40"/>
      <c r="B218" s="40"/>
      <c r="C218" s="40"/>
      <c r="D218" s="40"/>
      <c r="E218" s="40"/>
      <c r="F218" s="40"/>
      <c r="G218" s="40"/>
    </row>
    <row r="219" spans="1:7">
      <c r="A219" s="40"/>
      <c r="B219" s="40"/>
      <c r="C219" s="40"/>
      <c r="D219" s="40"/>
      <c r="E219" s="40"/>
      <c r="F219" s="40"/>
      <c r="G219" s="40"/>
    </row>
    <row r="220" spans="1:7">
      <c r="A220" s="40"/>
      <c r="B220" s="40"/>
      <c r="C220" s="40"/>
      <c r="D220" s="40"/>
      <c r="E220" s="40"/>
      <c r="F220" s="40"/>
      <c r="G220" s="40"/>
    </row>
    <row r="221" spans="1:7">
      <c r="A221" s="40"/>
      <c r="B221" s="40"/>
      <c r="C221" s="40"/>
      <c r="D221" s="40"/>
      <c r="E221" s="40"/>
      <c r="F221" s="40"/>
      <c r="G221" s="40"/>
    </row>
    <row r="222" spans="1:7">
      <c r="A222" s="40"/>
      <c r="B222" s="40"/>
      <c r="C222" s="40"/>
      <c r="D222" s="40"/>
      <c r="E222" s="40"/>
      <c r="F222" s="40"/>
      <c r="G222" s="40"/>
    </row>
    <row r="223" spans="1:7">
      <c r="A223" s="40"/>
      <c r="B223" s="40"/>
      <c r="C223" s="40"/>
      <c r="D223" s="40"/>
      <c r="E223" s="40"/>
      <c r="F223" s="40"/>
      <c r="G223" s="40"/>
    </row>
    <row r="224" spans="1:7">
      <c r="A224" s="40"/>
      <c r="B224" s="40"/>
      <c r="C224" s="40"/>
      <c r="D224" s="40"/>
      <c r="E224" s="40"/>
      <c r="F224" s="40"/>
      <c r="G224" s="40"/>
    </row>
    <row r="225" spans="1:7">
      <c r="A225" s="40"/>
      <c r="B225" s="40"/>
      <c r="C225" s="40"/>
      <c r="D225" s="40"/>
      <c r="E225" s="40"/>
      <c r="F225" s="40"/>
      <c r="G225" s="40"/>
    </row>
    <row r="226" spans="1:7">
      <c r="A226" s="40"/>
      <c r="B226" s="40"/>
      <c r="C226" s="40"/>
      <c r="D226" s="40"/>
      <c r="E226" s="40"/>
      <c r="F226" s="40"/>
      <c r="G226" s="40"/>
    </row>
    <row r="227" spans="1:7">
      <c r="A227" s="40"/>
      <c r="B227" s="40"/>
      <c r="C227" s="40"/>
      <c r="D227" s="40"/>
      <c r="E227" s="40"/>
      <c r="F227" s="40"/>
      <c r="G227" s="40"/>
    </row>
  </sheetData>
  <mergeCells count="20">
    <mergeCell ref="B17:B18"/>
    <mergeCell ref="B88:C88"/>
    <mergeCell ref="A2:G2"/>
    <mergeCell ref="A3:G3"/>
    <mergeCell ref="F5:F7"/>
    <mergeCell ref="G5:G7"/>
    <mergeCell ref="A5:A7"/>
    <mergeCell ref="B5:B7"/>
    <mergeCell ref="C5:C7"/>
    <mergeCell ref="D5:D7"/>
    <mergeCell ref="E5:E7"/>
    <mergeCell ref="B83:B84"/>
    <mergeCell ref="B74:B75"/>
    <mergeCell ref="B69:B70"/>
    <mergeCell ref="D96:F96"/>
    <mergeCell ref="D90:F90"/>
    <mergeCell ref="D91:F91"/>
    <mergeCell ref="D92:F92"/>
    <mergeCell ref="D94:F94"/>
    <mergeCell ref="D95:F95"/>
  </mergeCells>
  <pageMargins left="0.78" right="0.39" top="0.3" bottom="0.31" header="0.31496062992126" footer="0.31496062992126"/>
  <pageSetup paperSize="5" orientation="landscape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2:AH219"/>
  <sheetViews>
    <sheetView zoomScale="40" zoomScaleNormal="40" zoomScaleSheetLayoutView="100" workbookViewId="0">
      <pane xSplit="5" ySplit="8" topLeftCell="F9" activePane="bottomRight" state="frozen"/>
      <selection pane="topRight" activeCell="F1" sqref="F1"/>
      <selection pane="bottomLeft" activeCell="A8" sqref="A8"/>
      <selection pane="bottomRight" activeCell="F9" sqref="F9"/>
    </sheetView>
  </sheetViews>
  <sheetFormatPr defaultRowHeight="15"/>
  <cols>
    <col min="1" max="1" width="7.5703125" style="2" customWidth="1"/>
    <col min="2" max="2" width="48.28515625" style="2" customWidth="1"/>
    <col min="3" max="3" width="26.5703125" style="2" customWidth="1"/>
    <col min="4" max="4" width="16.5703125" style="2" customWidth="1"/>
    <col min="5" max="5" width="10.7109375" style="2" customWidth="1"/>
    <col min="6" max="6" width="18.7109375" style="2" customWidth="1"/>
    <col min="7" max="7" width="17.7109375" style="2" customWidth="1"/>
    <col min="8" max="8" width="8.7109375" style="2" customWidth="1"/>
    <col min="9" max="9" width="19.28515625" style="2" customWidth="1"/>
    <col min="10" max="10" width="10" style="2" customWidth="1"/>
    <col min="11" max="11" width="19.7109375" style="2" customWidth="1"/>
    <col min="12" max="12" width="18.85546875" style="2" customWidth="1"/>
    <col min="13" max="13" width="9" style="2" customWidth="1"/>
    <col min="14" max="14" width="18.85546875" style="2" customWidth="1"/>
    <col min="15" max="15" width="10.140625" style="2" customWidth="1"/>
    <col min="16" max="16" width="20" style="2" customWidth="1"/>
    <col min="17" max="17" width="18.140625" style="2" customWidth="1"/>
    <col min="18" max="18" width="9.28515625" style="2" customWidth="1"/>
    <col min="19" max="19" width="19" style="2" customWidth="1"/>
    <col min="20" max="20" width="13.5703125" style="2" customWidth="1"/>
    <col min="21" max="21" width="17.7109375" style="2" customWidth="1"/>
    <col min="22" max="22" width="18" style="2" customWidth="1"/>
    <col min="23" max="23" width="9.42578125" style="2" customWidth="1"/>
    <col min="24" max="24" width="17.5703125" style="2" customWidth="1"/>
    <col min="25" max="25" width="12.5703125" style="2" bestFit="1" customWidth="1"/>
    <col min="26" max="16384" width="9.140625" style="2"/>
  </cols>
  <sheetData>
    <row r="2" spans="1:25" ht="24.95" customHeight="1">
      <c r="A2" s="237" t="s">
        <v>21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</row>
    <row r="3" spans="1:25" ht="24.95" customHeight="1">
      <c r="A3" s="237" t="s">
        <v>153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</row>
    <row r="4" spans="1:25" ht="24.95" customHeight="1">
      <c r="A4" s="237" t="s">
        <v>30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</row>
    <row r="5" spans="1:25" ht="15.75">
      <c r="A5" s="1"/>
      <c r="B5" s="1"/>
      <c r="C5" s="1"/>
      <c r="D5" s="1"/>
    </row>
    <row r="6" spans="1:25" ht="15.75">
      <c r="A6" s="238" t="s">
        <v>0</v>
      </c>
      <c r="B6" s="238" t="s">
        <v>1</v>
      </c>
      <c r="C6" s="238" t="s">
        <v>2</v>
      </c>
      <c r="D6" s="238" t="s">
        <v>3</v>
      </c>
      <c r="E6" s="238" t="s">
        <v>17</v>
      </c>
      <c r="F6" s="3" t="s">
        <v>9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 s="4" customFormat="1" ht="15.75">
      <c r="A7" s="238"/>
      <c r="B7" s="238"/>
      <c r="C7" s="238"/>
      <c r="D7" s="238"/>
      <c r="E7" s="238"/>
      <c r="F7" s="263" t="s">
        <v>4</v>
      </c>
      <c r="G7" s="264"/>
      <c r="H7" s="264"/>
      <c r="I7" s="264"/>
      <c r="J7" s="265"/>
      <c r="K7" s="269" t="s">
        <v>5</v>
      </c>
      <c r="L7" s="270"/>
      <c r="M7" s="270"/>
      <c r="N7" s="270"/>
      <c r="O7" s="271"/>
      <c r="P7" s="266" t="s">
        <v>6</v>
      </c>
      <c r="Q7" s="267"/>
      <c r="R7" s="267"/>
      <c r="S7" s="267"/>
      <c r="T7" s="268"/>
      <c r="U7" s="260" t="s">
        <v>7</v>
      </c>
      <c r="V7" s="261"/>
      <c r="W7" s="261"/>
      <c r="X7" s="261"/>
      <c r="Y7" s="262"/>
    </row>
    <row r="8" spans="1:25" s="8" customFormat="1" ht="25.5" customHeight="1">
      <c r="A8" s="238"/>
      <c r="B8" s="238"/>
      <c r="C8" s="238"/>
      <c r="D8" s="238"/>
      <c r="E8" s="238"/>
      <c r="F8" s="24" t="s">
        <v>20</v>
      </c>
      <c r="G8" s="24" t="s">
        <v>8</v>
      </c>
      <c r="H8" s="24" t="s">
        <v>16</v>
      </c>
      <c r="I8" s="24" t="s">
        <v>14</v>
      </c>
      <c r="J8" s="24" t="s">
        <v>15</v>
      </c>
      <c r="K8" s="5" t="s">
        <v>20</v>
      </c>
      <c r="L8" s="5" t="s">
        <v>8</v>
      </c>
      <c r="M8" s="5" t="s">
        <v>16</v>
      </c>
      <c r="N8" s="5" t="s">
        <v>14</v>
      </c>
      <c r="O8" s="5" t="s">
        <v>15</v>
      </c>
      <c r="P8" s="6" t="s">
        <v>20</v>
      </c>
      <c r="Q8" s="6" t="s">
        <v>8</v>
      </c>
      <c r="R8" s="6" t="s">
        <v>16</v>
      </c>
      <c r="S8" s="6" t="s">
        <v>14</v>
      </c>
      <c r="T8" s="6" t="s">
        <v>15</v>
      </c>
      <c r="U8" s="7" t="s">
        <v>20</v>
      </c>
      <c r="V8" s="7" t="s">
        <v>8</v>
      </c>
      <c r="W8" s="7" t="s">
        <v>16</v>
      </c>
      <c r="X8" s="7" t="s">
        <v>14</v>
      </c>
      <c r="Y8" s="7" t="s">
        <v>15</v>
      </c>
    </row>
    <row r="9" spans="1:25" s="8" customFormat="1" ht="16.5" customHeight="1">
      <c r="A9" s="157">
        <v>1</v>
      </c>
      <c r="B9" s="157">
        <v>2</v>
      </c>
      <c r="C9" s="157">
        <v>3</v>
      </c>
      <c r="D9" s="157">
        <v>4</v>
      </c>
      <c r="E9" s="157">
        <v>5</v>
      </c>
      <c r="F9" s="158">
        <v>6</v>
      </c>
      <c r="G9" s="158">
        <v>7</v>
      </c>
      <c r="H9" s="158">
        <v>8</v>
      </c>
      <c r="I9" s="158">
        <v>9</v>
      </c>
      <c r="J9" s="158" t="s">
        <v>23</v>
      </c>
      <c r="K9" s="159">
        <v>11</v>
      </c>
      <c r="L9" s="159">
        <v>12</v>
      </c>
      <c r="M9" s="159" t="s">
        <v>24</v>
      </c>
      <c r="N9" s="159" t="s">
        <v>25</v>
      </c>
      <c r="O9" s="160">
        <v>15</v>
      </c>
      <c r="P9" s="161">
        <v>16</v>
      </c>
      <c r="Q9" s="161">
        <v>17</v>
      </c>
      <c r="R9" s="161" t="s">
        <v>26</v>
      </c>
      <c r="S9" s="161" t="s">
        <v>27</v>
      </c>
      <c r="T9" s="162">
        <v>20</v>
      </c>
      <c r="U9" s="163">
        <v>21</v>
      </c>
      <c r="V9" s="163">
        <v>22</v>
      </c>
      <c r="W9" s="163" t="s">
        <v>28</v>
      </c>
      <c r="X9" s="163" t="s">
        <v>29</v>
      </c>
      <c r="Y9" s="164">
        <v>25</v>
      </c>
    </row>
    <row r="10" spans="1:25" s="8" customFormat="1" ht="50.25" customHeight="1">
      <c r="A10" s="59">
        <v>1</v>
      </c>
      <c r="B10" s="51" t="s">
        <v>31</v>
      </c>
      <c r="C10" s="65" t="s">
        <v>70</v>
      </c>
      <c r="D10" s="53">
        <v>589200</v>
      </c>
      <c r="E10" s="29" t="s">
        <v>32</v>
      </c>
      <c r="F10" s="30">
        <f>D10/4</f>
        <v>147300</v>
      </c>
      <c r="G10" s="30">
        <f>F10</f>
        <v>147300</v>
      </c>
      <c r="H10" s="25">
        <f t="shared" ref="H10" si="0">G10/F10</f>
        <v>1</v>
      </c>
      <c r="I10" s="30">
        <f>G10</f>
        <v>147300</v>
      </c>
      <c r="J10" s="26">
        <f t="shared" ref="J10" si="1">G10/$D10</f>
        <v>0.25</v>
      </c>
      <c r="K10" s="30">
        <f>D10/4</f>
        <v>147300</v>
      </c>
      <c r="L10" s="30">
        <f>K10</f>
        <v>147300</v>
      </c>
      <c r="M10" s="25">
        <f t="shared" ref="M10" si="2">L10/K10</f>
        <v>1</v>
      </c>
      <c r="N10" s="27">
        <f t="shared" ref="N10" si="3">G10+L10</f>
        <v>294600</v>
      </c>
      <c r="O10" s="26">
        <f t="shared" ref="O10" si="4">N10/$D10</f>
        <v>0.5</v>
      </c>
      <c r="P10" s="30">
        <f>D10/4</f>
        <v>147300</v>
      </c>
      <c r="Q10" s="30">
        <f>P10</f>
        <v>147300</v>
      </c>
      <c r="R10" s="25">
        <f t="shared" ref="R10" si="5">Q10/P10</f>
        <v>1</v>
      </c>
      <c r="S10" s="28">
        <f t="shared" ref="S10" si="6">Q10+N10</f>
        <v>441900</v>
      </c>
      <c r="T10" s="26">
        <f t="shared" ref="T10" si="7">S10/$D10</f>
        <v>0.75</v>
      </c>
      <c r="U10" s="30">
        <f>D10/4</f>
        <v>147300</v>
      </c>
      <c r="V10" s="30">
        <f>U10</f>
        <v>147300</v>
      </c>
      <c r="W10" s="25">
        <f t="shared" ref="W10" si="8">V10/U10</f>
        <v>1</v>
      </c>
      <c r="X10" s="27">
        <f t="shared" ref="X10" si="9">S10+V10</f>
        <v>589200</v>
      </c>
      <c r="Y10" s="26">
        <f t="shared" ref="Y10" si="10">X10/$D10</f>
        <v>1</v>
      </c>
    </row>
    <row r="11" spans="1:25" s="8" customFormat="1" ht="15" customHeight="1">
      <c r="A11" s="60"/>
      <c r="B11" s="38"/>
      <c r="C11" s="65" t="s">
        <v>71</v>
      </c>
      <c r="D11" s="53">
        <v>44200</v>
      </c>
      <c r="E11" s="29" t="s">
        <v>32</v>
      </c>
      <c r="F11" s="30">
        <f>112906.09/4</f>
        <v>28226.522499999999</v>
      </c>
      <c r="G11" s="30">
        <f>F11</f>
        <v>28226.522499999999</v>
      </c>
      <c r="H11" s="25">
        <f t="shared" ref="H11" si="11">G11/F11</f>
        <v>1</v>
      </c>
      <c r="I11" s="30">
        <f>G11</f>
        <v>28226.522499999999</v>
      </c>
      <c r="J11" s="26">
        <f t="shared" ref="J11" si="12">G11/$D11</f>
        <v>0.63860910633484158</v>
      </c>
      <c r="K11" s="31">
        <f>F11</f>
        <v>28226.522499999999</v>
      </c>
      <c r="L11" s="31">
        <f>K11</f>
        <v>28226.522499999999</v>
      </c>
      <c r="M11" s="25">
        <f t="shared" ref="M11" si="13">L11/K11</f>
        <v>1</v>
      </c>
      <c r="N11" s="33">
        <f t="shared" ref="N11" si="14">G11+L11</f>
        <v>56453.044999999998</v>
      </c>
      <c r="O11" s="26">
        <f t="shared" ref="O11" si="15">N11/$D11</f>
        <v>1.2772182126696832</v>
      </c>
      <c r="P11" s="31">
        <f>F11</f>
        <v>28226.522499999999</v>
      </c>
      <c r="Q11" s="31">
        <f>P11</f>
        <v>28226.522499999999</v>
      </c>
      <c r="R11" s="25">
        <f t="shared" ref="R11" si="16">Q11/P11</f>
        <v>1</v>
      </c>
      <c r="S11" s="32">
        <f t="shared" ref="S11" si="17">Q11+N11</f>
        <v>84679.567500000005</v>
      </c>
      <c r="T11" s="26">
        <f t="shared" ref="T11" si="18">S11/$D11</f>
        <v>1.915827319004525</v>
      </c>
      <c r="U11" s="31">
        <f>F11</f>
        <v>28226.522499999999</v>
      </c>
      <c r="V11" s="31">
        <f>U11</f>
        <v>28226.522499999999</v>
      </c>
      <c r="W11" s="25">
        <f t="shared" ref="W11" si="19">V11/U11</f>
        <v>1</v>
      </c>
      <c r="X11" s="33">
        <f t="shared" ref="X11" si="20">S11+V11</f>
        <v>112906.09</v>
      </c>
      <c r="Y11" s="26">
        <f t="shared" ref="Y11" si="21">X11/$D11</f>
        <v>2.5544364253393663</v>
      </c>
    </row>
    <row r="12" spans="1:25" s="8" customFormat="1" ht="15" customHeight="1">
      <c r="A12" s="60"/>
      <c r="B12" s="39"/>
      <c r="C12" s="65" t="s">
        <v>72</v>
      </c>
      <c r="D12" s="53">
        <v>289</v>
      </c>
      <c r="E12" s="29" t="s">
        <v>32</v>
      </c>
      <c r="F12" s="31">
        <f>13078/4</f>
        <v>3269.5</v>
      </c>
      <c r="G12" s="31">
        <f t="shared" ref="G12:G52" si="22">F12</f>
        <v>3269.5</v>
      </c>
      <c r="H12" s="25">
        <f t="shared" ref="H12" si="23">G12/F12</f>
        <v>1</v>
      </c>
      <c r="I12" s="31">
        <f t="shared" ref="I12" si="24">G12</f>
        <v>3269.5</v>
      </c>
      <c r="J12" s="26">
        <f t="shared" ref="J12" si="25">G12/$D12</f>
        <v>11.313148788927336</v>
      </c>
      <c r="K12" s="31">
        <f t="shared" ref="K12" si="26">F12</f>
        <v>3269.5</v>
      </c>
      <c r="L12" s="31">
        <f t="shared" ref="L12:L52" si="27">K12</f>
        <v>3269.5</v>
      </c>
      <c r="M12" s="25">
        <f t="shared" ref="M12" si="28">L12/K12</f>
        <v>1</v>
      </c>
      <c r="N12" s="33">
        <f t="shared" ref="N12" si="29">G12+L12</f>
        <v>6539</v>
      </c>
      <c r="O12" s="26">
        <f t="shared" ref="O12" si="30">N12/$D12</f>
        <v>22.626297577854672</v>
      </c>
      <c r="P12" s="31">
        <f t="shared" ref="P12" si="31">F12</f>
        <v>3269.5</v>
      </c>
      <c r="Q12" s="31">
        <f t="shared" ref="Q12:Q52" si="32">P12</f>
        <v>3269.5</v>
      </c>
      <c r="R12" s="25">
        <f t="shared" ref="R12" si="33">Q12/P12</f>
        <v>1</v>
      </c>
      <c r="S12" s="32">
        <f t="shared" ref="S12" si="34">Q12+N12</f>
        <v>9808.5</v>
      </c>
      <c r="T12" s="26">
        <f t="shared" ref="T12" si="35">S12/$D12</f>
        <v>33.939446366782008</v>
      </c>
      <c r="U12" s="31">
        <f t="shared" ref="U12" si="36">F12</f>
        <v>3269.5</v>
      </c>
      <c r="V12" s="31">
        <f t="shared" ref="V12:V52" si="37">U12</f>
        <v>3269.5</v>
      </c>
      <c r="W12" s="25">
        <f t="shared" ref="W12" si="38">V12/U12</f>
        <v>1</v>
      </c>
      <c r="X12" s="33">
        <f t="shared" ref="X12" si="39">S12+V12</f>
        <v>13078</v>
      </c>
      <c r="Y12" s="193">
        <f t="shared" ref="Y12" si="40">X12/$D12</f>
        <v>45.252595155709344</v>
      </c>
    </row>
    <row r="13" spans="1:25" s="8" customFormat="1" ht="15" customHeight="1">
      <c r="A13" s="60"/>
      <c r="B13" s="39"/>
      <c r="C13" s="65" t="s">
        <v>73</v>
      </c>
      <c r="D13" s="53">
        <v>7700</v>
      </c>
      <c r="E13" s="29" t="s">
        <v>32</v>
      </c>
      <c r="F13" s="31">
        <f>7606.83/4</f>
        <v>1901.7075</v>
      </c>
      <c r="G13" s="31">
        <f t="shared" ref="G13:G16" si="41">F13</f>
        <v>1901.7075</v>
      </c>
      <c r="H13" s="25">
        <f t="shared" ref="H13:H16" si="42">G13/F13</f>
        <v>1</v>
      </c>
      <c r="I13" s="31">
        <f t="shared" ref="I13:I16" si="43">G13</f>
        <v>1901.7075</v>
      </c>
      <c r="J13" s="26">
        <f t="shared" ref="J13:J16" si="44">G13/$D13</f>
        <v>0.246975</v>
      </c>
      <c r="K13" s="31">
        <f t="shared" ref="K13:K16" si="45">F13</f>
        <v>1901.7075</v>
      </c>
      <c r="L13" s="31">
        <f t="shared" ref="L13:L16" si="46">K13</f>
        <v>1901.7075</v>
      </c>
      <c r="M13" s="25">
        <f t="shared" ref="M13:M16" si="47">L13/K13</f>
        <v>1</v>
      </c>
      <c r="N13" s="33">
        <f t="shared" ref="N13:N16" si="48">G13+L13</f>
        <v>3803.415</v>
      </c>
      <c r="O13" s="26">
        <f t="shared" ref="O13:O16" si="49">N13/$D13</f>
        <v>0.49395</v>
      </c>
      <c r="P13" s="31">
        <f t="shared" ref="P13:P16" si="50">F13</f>
        <v>1901.7075</v>
      </c>
      <c r="Q13" s="31">
        <f t="shared" ref="Q13:Q16" si="51">P13</f>
        <v>1901.7075</v>
      </c>
      <c r="R13" s="25">
        <f t="shared" ref="R13:R16" si="52">Q13/P13</f>
        <v>1</v>
      </c>
      <c r="S13" s="32">
        <f t="shared" ref="S13:S16" si="53">Q13+N13</f>
        <v>5705.1224999999995</v>
      </c>
      <c r="T13" s="26">
        <f t="shared" ref="T13:T16" si="54">S13/$D13</f>
        <v>0.74092499999999994</v>
      </c>
      <c r="U13" s="31">
        <f t="shared" ref="U13:U16" si="55">F13</f>
        <v>1901.7075</v>
      </c>
      <c r="V13" s="31">
        <f t="shared" ref="V13:V16" si="56">U13</f>
        <v>1901.7075</v>
      </c>
      <c r="W13" s="25">
        <f t="shared" ref="W13:W16" si="57">V13/U13</f>
        <v>1</v>
      </c>
      <c r="X13" s="33">
        <f t="shared" ref="X13:X16" si="58">S13+V13</f>
        <v>7606.83</v>
      </c>
      <c r="Y13" s="26">
        <f t="shared" ref="Y13:Y16" si="59">X13/$D13</f>
        <v>0.9879</v>
      </c>
    </row>
    <row r="14" spans="1:25" s="8" customFormat="1" ht="15" customHeight="1">
      <c r="A14" s="60"/>
      <c r="B14" s="39"/>
      <c r="C14" s="65" t="s">
        <v>74</v>
      </c>
      <c r="D14" s="53">
        <v>1000</v>
      </c>
      <c r="E14" s="29" t="s">
        <v>32</v>
      </c>
      <c r="F14" s="31">
        <f>1236.78/4</f>
        <v>309.19499999999999</v>
      </c>
      <c r="G14" s="31">
        <f t="shared" si="41"/>
        <v>309.19499999999999</v>
      </c>
      <c r="H14" s="25">
        <f t="shared" si="42"/>
        <v>1</v>
      </c>
      <c r="I14" s="31">
        <f t="shared" si="43"/>
        <v>309.19499999999999</v>
      </c>
      <c r="J14" s="26">
        <f t="shared" si="44"/>
        <v>0.309195</v>
      </c>
      <c r="K14" s="31">
        <f t="shared" si="45"/>
        <v>309.19499999999999</v>
      </c>
      <c r="L14" s="31">
        <f t="shared" si="46"/>
        <v>309.19499999999999</v>
      </c>
      <c r="M14" s="25">
        <f t="shared" si="47"/>
        <v>1</v>
      </c>
      <c r="N14" s="33">
        <f t="shared" si="48"/>
        <v>618.39</v>
      </c>
      <c r="O14" s="26">
        <f t="shared" si="49"/>
        <v>0.61839</v>
      </c>
      <c r="P14" s="31">
        <f t="shared" si="50"/>
        <v>309.19499999999999</v>
      </c>
      <c r="Q14" s="31">
        <f t="shared" si="51"/>
        <v>309.19499999999999</v>
      </c>
      <c r="R14" s="25">
        <f t="shared" si="52"/>
        <v>1</v>
      </c>
      <c r="S14" s="32">
        <f t="shared" si="53"/>
        <v>927.58500000000004</v>
      </c>
      <c r="T14" s="26">
        <f t="shared" si="54"/>
        <v>0.92758499999999999</v>
      </c>
      <c r="U14" s="31">
        <f t="shared" si="55"/>
        <v>309.19499999999999</v>
      </c>
      <c r="V14" s="31">
        <f t="shared" si="56"/>
        <v>309.19499999999999</v>
      </c>
      <c r="W14" s="25">
        <f t="shared" si="57"/>
        <v>1</v>
      </c>
      <c r="X14" s="33">
        <f t="shared" si="58"/>
        <v>1236.78</v>
      </c>
      <c r="Y14" s="26">
        <f t="shared" si="59"/>
        <v>1.23678</v>
      </c>
    </row>
    <row r="15" spans="1:25" s="8" customFormat="1" ht="15" customHeight="1">
      <c r="A15" s="60"/>
      <c r="B15" s="39"/>
      <c r="C15" s="65" t="s">
        <v>75</v>
      </c>
      <c r="D15" s="53">
        <v>651</v>
      </c>
      <c r="E15" s="29" t="s">
        <v>32</v>
      </c>
      <c r="F15" s="31">
        <f>620.28/4</f>
        <v>155.07</v>
      </c>
      <c r="G15" s="31">
        <f t="shared" si="41"/>
        <v>155.07</v>
      </c>
      <c r="H15" s="25">
        <f t="shared" si="42"/>
        <v>1</v>
      </c>
      <c r="I15" s="31">
        <f t="shared" si="43"/>
        <v>155.07</v>
      </c>
      <c r="J15" s="26">
        <f t="shared" si="44"/>
        <v>0.23820276497695853</v>
      </c>
      <c r="K15" s="31">
        <f t="shared" si="45"/>
        <v>155.07</v>
      </c>
      <c r="L15" s="31">
        <f t="shared" si="46"/>
        <v>155.07</v>
      </c>
      <c r="M15" s="25">
        <f t="shared" si="47"/>
        <v>1</v>
      </c>
      <c r="N15" s="33">
        <f t="shared" si="48"/>
        <v>310.14</v>
      </c>
      <c r="O15" s="26">
        <f t="shared" si="49"/>
        <v>0.47640552995391705</v>
      </c>
      <c r="P15" s="31">
        <f t="shared" si="50"/>
        <v>155.07</v>
      </c>
      <c r="Q15" s="31">
        <f t="shared" si="51"/>
        <v>155.07</v>
      </c>
      <c r="R15" s="25">
        <f t="shared" si="52"/>
        <v>1</v>
      </c>
      <c r="S15" s="32">
        <f t="shared" si="53"/>
        <v>465.21</v>
      </c>
      <c r="T15" s="26">
        <f t="shared" si="54"/>
        <v>0.71460829493087552</v>
      </c>
      <c r="U15" s="31">
        <f t="shared" si="55"/>
        <v>155.07</v>
      </c>
      <c r="V15" s="31">
        <f t="shared" si="56"/>
        <v>155.07</v>
      </c>
      <c r="W15" s="25">
        <f t="shared" si="57"/>
        <v>1</v>
      </c>
      <c r="X15" s="33">
        <f t="shared" si="58"/>
        <v>620.28</v>
      </c>
      <c r="Y15" s="26">
        <f t="shared" si="59"/>
        <v>0.9528110599078341</v>
      </c>
    </row>
    <row r="16" spans="1:25" s="8" customFormat="1" ht="15" customHeight="1">
      <c r="A16" s="60"/>
      <c r="B16" s="39"/>
      <c r="C16" s="65" t="s">
        <v>76</v>
      </c>
      <c r="D16" s="167">
        <v>85</v>
      </c>
      <c r="E16" s="29" t="s">
        <v>32</v>
      </c>
      <c r="F16" s="31">
        <f>84.04/4</f>
        <v>21.01</v>
      </c>
      <c r="G16" s="31">
        <f t="shared" si="41"/>
        <v>21.01</v>
      </c>
      <c r="H16" s="25">
        <f t="shared" si="42"/>
        <v>1</v>
      </c>
      <c r="I16" s="31">
        <f t="shared" si="43"/>
        <v>21.01</v>
      </c>
      <c r="J16" s="26">
        <f t="shared" si="44"/>
        <v>0.2471764705882353</v>
      </c>
      <c r="K16" s="31">
        <f t="shared" si="45"/>
        <v>21.01</v>
      </c>
      <c r="L16" s="31">
        <f t="shared" si="46"/>
        <v>21.01</v>
      </c>
      <c r="M16" s="25">
        <f t="shared" si="47"/>
        <v>1</v>
      </c>
      <c r="N16" s="33">
        <f t="shared" si="48"/>
        <v>42.02</v>
      </c>
      <c r="O16" s="26">
        <f t="shared" si="49"/>
        <v>0.49435294117647061</v>
      </c>
      <c r="P16" s="31">
        <f t="shared" si="50"/>
        <v>21.01</v>
      </c>
      <c r="Q16" s="31">
        <f t="shared" si="51"/>
        <v>21.01</v>
      </c>
      <c r="R16" s="25">
        <f t="shared" si="52"/>
        <v>1</v>
      </c>
      <c r="S16" s="32">
        <f t="shared" si="53"/>
        <v>63.03</v>
      </c>
      <c r="T16" s="26">
        <f t="shared" si="54"/>
        <v>0.74152941176470588</v>
      </c>
      <c r="U16" s="31">
        <f t="shared" si="55"/>
        <v>21.01</v>
      </c>
      <c r="V16" s="31">
        <f t="shared" si="56"/>
        <v>21.01</v>
      </c>
      <c r="W16" s="25">
        <f t="shared" si="57"/>
        <v>1</v>
      </c>
      <c r="X16" s="33">
        <f t="shared" si="58"/>
        <v>84.04</v>
      </c>
      <c r="Y16" s="26">
        <f t="shared" si="59"/>
        <v>0.98870588235294121</v>
      </c>
    </row>
    <row r="17" spans="1:34" s="8" customFormat="1" ht="15" customHeight="1">
      <c r="A17" s="60"/>
      <c r="B17" s="39"/>
      <c r="C17" s="66"/>
      <c r="D17" s="77"/>
      <c r="E17" s="72"/>
      <c r="F17" s="31"/>
      <c r="G17" s="31"/>
      <c r="H17" s="25"/>
      <c r="I17" s="31"/>
      <c r="J17" s="26"/>
      <c r="K17" s="31"/>
      <c r="L17" s="31"/>
      <c r="M17" s="25"/>
      <c r="N17" s="33"/>
      <c r="O17" s="26"/>
      <c r="P17" s="31"/>
      <c r="Q17" s="31"/>
      <c r="R17" s="25"/>
      <c r="S17" s="32"/>
      <c r="T17" s="26"/>
      <c r="U17" s="31"/>
      <c r="V17" s="31"/>
      <c r="W17" s="25"/>
      <c r="X17" s="33"/>
      <c r="Y17" s="26"/>
    </row>
    <row r="18" spans="1:34" ht="15" customHeight="1">
      <c r="A18" s="45">
        <v>2</v>
      </c>
      <c r="B18" s="51" t="s">
        <v>33</v>
      </c>
      <c r="C18" s="69" t="s">
        <v>78</v>
      </c>
      <c r="D18" s="207">
        <v>73091</v>
      </c>
      <c r="E18" s="74" t="s">
        <v>90</v>
      </c>
      <c r="F18" s="71">
        <f>36063/4</f>
        <v>9015.75</v>
      </c>
      <c r="G18" s="30">
        <f t="shared" si="22"/>
        <v>9015.75</v>
      </c>
      <c r="H18" s="25">
        <f t="shared" ref="H18:H25" si="60">G18/F18</f>
        <v>1</v>
      </c>
      <c r="I18" s="30">
        <f t="shared" ref="I18:I25" si="61">G18</f>
        <v>9015.75</v>
      </c>
      <c r="J18" s="26">
        <f t="shared" ref="J18:J25" si="62">G18/$D18</f>
        <v>0.12334966001286068</v>
      </c>
      <c r="K18" s="30">
        <f t="shared" ref="K18:K25" si="63">F18</f>
        <v>9015.75</v>
      </c>
      <c r="L18" s="30">
        <f t="shared" si="27"/>
        <v>9015.75</v>
      </c>
      <c r="M18" s="25">
        <f t="shared" ref="M18:M25" si="64">L18/K18</f>
        <v>1</v>
      </c>
      <c r="N18" s="34">
        <f t="shared" ref="N18:N25" si="65">G18+L18</f>
        <v>18031.5</v>
      </c>
      <c r="O18" s="26">
        <f t="shared" ref="O18:O25" si="66">N18/$D18</f>
        <v>0.24669932002572137</v>
      </c>
      <c r="P18" s="30">
        <f t="shared" ref="P18:P25" si="67">F18</f>
        <v>9015.75</v>
      </c>
      <c r="Q18" s="30">
        <f t="shared" si="32"/>
        <v>9015.75</v>
      </c>
      <c r="R18" s="25">
        <f t="shared" ref="R18:R25" si="68">Q18/P18</f>
        <v>1</v>
      </c>
      <c r="S18" s="28">
        <f t="shared" ref="S18:S25" si="69">Q18+N18</f>
        <v>27047.25</v>
      </c>
      <c r="T18" s="26">
        <f t="shared" ref="T18:T25" si="70">S18/$D18</f>
        <v>0.37004898003858205</v>
      </c>
      <c r="U18" s="30">
        <f t="shared" ref="U18:U25" si="71">F18</f>
        <v>9015.75</v>
      </c>
      <c r="V18" s="30">
        <f t="shared" si="37"/>
        <v>9015.75</v>
      </c>
      <c r="W18" s="25">
        <f t="shared" ref="W18:W25" si="72">V18/U18</f>
        <v>1</v>
      </c>
      <c r="X18" s="34">
        <f t="shared" ref="X18:X25" si="73">S18+V18</f>
        <v>36063</v>
      </c>
      <c r="Y18" s="26">
        <f t="shared" ref="Y18:Y25" si="74">X18/$D18</f>
        <v>0.49339864005144274</v>
      </c>
      <c r="Z18" s="40"/>
      <c r="AA18" s="40"/>
      <c r="AB18" s="40"/>
      <c r="AC18" s="40"/>
      <c r="AD18" s="40"/>
      <c r="AE18" s="40"/>
      <c r="AF18" s="40"/>
      <c r="AG18" s="40"/>
      <c r="AH18" s="40"/>
    </row>
    <row r="19" spans="1:34" ht="15" customHeight="1">
      <c r="A19" s="45"/>
      <c r="B19" s="38"/>
      <c r="C19" s="69" t="s">
        <v>79</v>
      </c>
      <c r="D19" s="207">
        <v>3329</v>
      </c>
      <c r="E19" s="74" t="s">
        <v>90</v>
      </c>
      <c r="F19" s="71">
        <f>1602/4</f>
        <v>400.5</v>
      </c>
      <c r="G19" s="30">
        <f t="shared" si="22"/>
        <v>400.5</v>
      </c>
      <c r="H19" s="25">
        <f t="shared" si="60"/>
        <v>1</v>
      </c>
      <c r="I19" s="30">
        <f t="shared" si="61"/>
        <v>400.5</v>
      </c>
      <c r="J19" s="26">
        <f t="shared" si="62"/>
        <v>0.12030639831781316</v>
      </c>
      <c r="K19" s="30">
        <f t="shared" si="63"/>
        <v>400.5</v>
      </c>
      <c r="L19" s="30">
        <f t="shared" si="27"/>
        <v>400.5</v>
      </c>
      <c r="M19" s="25">
        <f t="shared" si="64"/>
        <v>1</v>
      </c>
      <c r="N19" s="34">
        <f t="shared" si="65"/>
        <v>801</v>
      </c>
      <c r="O19" s="26">
        <f t="shared" si="66"/>
        <v>0.24061279663562632</v>
      </c>
      <c r="P19" s="30">
        <f t="shared" si="67"/>
        <v>400.5</v>
      </c>
      <c r="Q19" s="30">
        <f t="shared" si="32"/>
        <v>400.5</v>
      </c>
      <c r="R19" s="25">
        <f t="shared" si="68"/>
        <v>1</v>
      </c>
      <c r="S19" s="28">
        <f t="shared" si="69"/>
        <v>1201.5</v>
      </c>
      <c r="T19" s="26">
        <f t="shared" si="70"/>
        <v>0.36091919495343949</v>
      </c>
      <c r="U19" s="30">
        <f t="shared" si="71"/>
        <v>400.5</v>
      </c>
      <c r="V19" s="30">
        <f t="shared" si="37"/>
        <v>400.5</v>
      </c>
      <c r="W19" s="25">
        <f t="shared" si="72"/>
        <v>1</v>
      </c>
      <c r="X19" s="34">
        <f t="shared" si="73"/>
        <v>1602</v>
      </c>
      <c r="Y19" s="26">
        <f t="shared" si="74"/>
        <v>0.48122559327125264</v>
      </c>
      <c r="Z19" s="40"/>
      <c r="AA19" s="40"/>
      <c r="AB19" s="40"/>
      <c r="AC19" s="40"/>
      <c r="AD19" s="40"/>
      <c r="AE19" s="40"/>
      <c r="AF19" s="40"/>
      <c r="AG19" s="40"/>
      <c r="AH19" s="40"/>
    </row>
    <row r="20" spans="1:34" ht="15" customHeight="1">
      <c r="A20" s="60"/>
      <c r="B20" s="36"/>
      <c r="C20" s="69" t="s">
        <v>80</v>
      </c>
      <c r="D20" s="207">
        <v>586</v>
      </c>
      <c r="E20" s="74" t="s">
        <v>90</v>
      </c>
      <c r="F20" s="71">
        <f>293/4</f>
        <v>73.25</v>
      </c>
      <c r="G20" s="30">
        <f t="shared" si="22"/>
        <v>73.25</v>
      </c>
      <c r="H20" s="25">
        <f t="shared" si="60"/>
        <v>1</v>
      </c>
      <c r="I20" s="30">
        <f t="shared" si="61"/>
        <v>73.25</v>
      </c>
      <c r="J20" s="26">
        <f t="shared" si="62"/>
        <v>0.125</v>
      </c>
      <c r="K20" s="30">
        <f t="shared" si="63"/>
        <v>73.25</v>
      </c>
      <c r="L20" s="30">
        <f t="shared" si="27"/>
        <v>73.25</v>
      </c>
      <c r="M20" s="25">
        <f t="shared" si="64"/>
        <v>1</v>
      </c>
      <c r="N20" s="34">
        <f t="shared" si="65"/>
        <v>146.5</v>
      </c>
      <c r="O20" s="26">
        <f t="shared" si="66"/>
        <v>0.25</v>
      </c>
      <c r="P20" s="30">
        <f t="shared" si="67"/>
        <v>73.25</v>
      </c>
      <c r="Q20" s="30">
        <f t="shared" si="32"/>
        <v>73.25</v>
      </c>
      <c r="R20" s="25">
        <f t="shared" si="68"/>
        <v>1</v>
      </c>
      <c r="S20" s="28">
        <f t="shared" si="69"/>
        <v>219.75</v>
      </c>
      <c r="T20" s="26">
        <f t="shared" si="70"/>
        <v>0.375</v>
      </c>
      <c r="U20" s="30">
        <f t="shared" si="71"/>
        <v>73.25</v>
      </c>
      <c r="V20" s="30">
        <f t="shared" si="37"/>
        <v>73.25</v>
      </c>
      <c r="W20" s="25">
        <f t="shared" si="72"/>
        <v>1</v>
      </c>
      <c r="X20" s="34">
        <f t="shared" si="73"/>
        <v>293</v>
      </c>
      <c r="Y20" s="26">
        <f t="shared" si="74"/>
        <v>0.5</v>
      </c>
      <c r="Z20" s="40"/>
      <c r="AA20" s="40"/>
      <c r="AB20" s="40"/>
      <c r="AC20" s="40"/>
      <c r="AD20" s="40"/>
      <c r="AE20" s="40"/>
      <c r="AF20" s="40"/>
      <c r="AG20" s="40"/>
      <c r="AH20" s="40"/>
    </row>
    <row r="21" spans="1:34" ht="15" customHeight="1">
      <c r="A21" s="60"/>
      <c r="B21" s="36"/>
      <c r="C21" s="69" t="s">
        <v>81</v>
      </c>
      <c r="D21" s="207">
        <v>15083</v>
      </c>
      <c r="E21" s="74" t="s">
        <v>90</v>
      </c>
      <c r="F21" s="71">
        <f>6273/4</f>
        <v>1568.25</v>
      </c>
      <c r="G21" s="30">
        <f t="shared" si="22"/>
        <v>1568.25</v>
      </c>
      <c r="H21" s="25">
        <f t="shared" si="60"/>
        <v>1</v>
      </c>
      <c r="I21" s="30">
        <f t="shared" si="61"/>
        <v>1568.25</v>
      </c>
      <c r="J21" s="26">
        <f t="shared" si="62"/>
        <v>0.10397467347344692</v>
      </c>
      <c r="K21" s="30">
        <f t="shared" si="63"/>
        <v>1568.25</v>
      </c>
      <c r="L21" s="30">
        <f t="shared" si="27"/>
        <v>1568.25</v>
      </c>
      <c r="M21" s="25">
        <f t="shared" si="64"/>
        <v>1</v>
      </c>
      <c r="N21" s="34">
        <f t="shared" si="65"/>
        <v>3136.5</v>
      </c>
      <c r="O21" s="26">
        <f t="shared" si="66"/>
        <v>0.20794934694689385</v>
      </c>
      <c r="P21" s="30">
        <f t="shared" si="67"/>
        <v>1568.25</v>
      </c>
      <c r="Q21" s="30">
        <f t="shared" si="32"/>
        <v>1568.25</v>
      </c>
      <c r="R21" s="25">
        <f t="shared" si="68"/>
        <v>1</v>
      </c>
      <c r="S21" s="28">
        <f t="shared" si="69"/>
        <v>4704.75</v>
      </c>
      <c r="T21" s="26">
        <f t="shared" si="70"/>
        <v>0.31192402042034079</v>
      </c>
      <c r="U21" s="30">
        <f t="shared" si="71"/>
        <v>1568.25</v>
      </c>
      <c r="V21" s="30">
        <f t="shared" si="37"/>
        <v>1568.25</v>
      </c>
      <c r="W21" s="25">
        <f t="shared" si="72"/>
        <v>1</v>
      </c>
      <c r="X21" s="34">
        <f t="shared" si="73"/>
        <v>6273</v>
      </c>
      <c r="Y21" s="26">
        <f t="shared" si="74"/>
        <v>0.4158986938937877</v>
      </c>
      <c r="Z21" s="40"/>
      <c r="AA21" s="40"/>
      <c r="AB21" s="40"/>
      <c r="AC21" s="40"/>
      <c r="AD21" s="40"/>
      <c r="AE21" s="40"/>
      <c r="AF21" s="40"/>
      <c r="AG21" s="40"/>
      <c r="AH21" s="40"/>
    </row>
    <row r="22" spans="1:34" ht="15" customHeight="1">
      <c r="A22" s="60"/>
      <c r="B22" s="36"/>
      <c r="C22" s="69" t="s">
        <v>82</v>
      </c>
      <c r="D22" s="207">
        <v>3668330</v>
      </c>
      <c r="E22" s="74" t="s">
        <v>90</v>
      </c>
      <c r="F22" s="71">
        <f>3586578/4</f>
        <v>896644.5</v>
      </c>
      <c r="G22" s="30">
        <f t="shared" si="22"/>
        <v>896644.5</v>
      </c>
      <c r="H22" s="25">
        <f t="shared" si="60"/>
        <v>1</v>
      </c>
      <c r="I22" s="30">
        <f t="shared" si="61"/>
        <v>896644.5</v>
      </c>
      <c r="J22" s="26">
        <f t="shared" si="62"/>
        <v>0.24442852742256013</v>
      </c>
      <c r="K22" s="30">
        <f t="shared" si="63"/>
        <v>896644.5</v>
      </c>
      <c r="L22" s="30">
        <f t="shared" si="27"/>
        <v>896644.5</v>
      </c>
      <c r="M22" s="25">
        <f t="shared" si="64"/>
        <v>1</v>
      </c>
      <c r="N22" s="34">
        <f t="shared" si="65"/>
        <v>1793289</v>
      </c>
      <c r="O22" s="26">
        <f t="shared" si="66"/>
        <v>0.48885705484512026</v>
      </c>
      <c r="P22" s="30">
        <f t="shared" si="67"/>
        <v>896644.5</v>
      </c>
      <c r="Q22" s="30">
        <f t="shared" si="32"/>
        <v>896644.5</v>
      </c>
      <c r="R22" s="25">
        <f t="shared" si="68"/>
        <v>1</v>
      </c>
      <c r="S22" s="28">
        <f t="shared" si="69"/>
        <v>2689933.5</v>
      </c>
      <c r="T22" s="26">
        <f t="shared" si="70"/>
        <v>0.73328558226768037</v>
      </c>
      <c r="U22" s="30">
        <f t="shared" si="71"/>
        <v>896644.5</v>
      </c>
      <c r="V22" s="30">
        <f t="shared" si="37"/>
        <v>896644.5</v>
      </c>
      <c r="W22" s="25">
        <f t="shared" si="72"/>
        <v>1</v>
      </c>
      <c r="X22" s="34">
        <f t="shared" si="73"/>
        <v>3586578</v>
      </c>
      <c r="Y22" s="26">
        <f t="shared" si="74"/>
        <v>0.97771410969024053</v>
      </c>
      <c r="Z22" s="40"/>
      <c r="AA22" s="40"/>
      <c r="AB22" s="40"/>
      <c r="AC22" s="40"/>
      <c r="AD22" s="40"/>
      <c r="AE22" s="40"/>
      <c r="AF22" s="40"/>
      <c r="AG22" s="40"/>
      <c r="AH22" s="40"/>
    </row>
    <row r="23" spans="1:34" ht="15" customHeight="1">
      <c r="A23" s="60"/>
      <c r="B23" s="36"/>
      <c r="C23" s="69" t="s">
        <v>83</v>
      </c>
      <c r="D23" s="207">
        <v>2282474</v>
      </c>
      <c r="E23" s="74" t="s">
        <v>90</v>
      </c>
      <c r="F23" s="71">
        <f>660394/4</f>
        <v>165098.5</v>
      </c>
      <c r="G23" s="30">
        <f t="shared" si="22"/>
        <v>165098.5</v>
      </c>
      <c r="H23" s="25">
        <f t="shared" si="60"/>
        <v>1</v>
      </c>
      <c r="I23" s="30">
        <f t="shared" si="61"/>
        <v>165098.5</v>
      </c>
      <c r="J23" s="26">
        <f t="shared" si="62"/>
        <v>7.2333135010519287E-2</v>
      </c>
      <c r="K23" s="30">
        <f t="shared" si="63"/>
        <v>165098.5</v>
      </c>
      <c r="L23" s="30">
        <f t="shared" si="27"/>
        <v>165098.5</v>
      </c>
      <c r="M23" s="25">
        <f t="shared" si="64"/>
        <v>1</v>
      </c>
      <c r="N23" s="34">
        <f t="shared" si="65"/>
        <v>330197</v>
      </c>
      <c r="O23" s="26">
        <f t="shared" si="66"/>
        <v>0.14466627002103857</v>
      </c>
      <c r="P23" s="30">
        <f t="shared" si="67"/>
        <v>165098.5</v>
      </c>
      <c r="Q23" s="30">
        <f t="shared" si="32"/>
        <v>165098.5</v>
      </c>
      <c r="R23" s="25">
        <f t="shared" si="68"/>
        <v>1</v>
      </c>
      <c r="S23" s="28">
        <f t="shared" si="69"/>
        <v>495295.5</v>
      </c>
      <c r="T23" s="26">
        <f t="shared" si="70"/>
        <v>0.21699940503155787</v>
      </c>
      <c r="U23" s="30">
        <f t="shared" si="71"/>
        <v>165098.5</v>
      </c>
      <c r="V23" s="30">
        <f t="shared" si="37"/>
        <v>165098.5</v>
      </c>
      <c r="W23" s="25">
        <f t="shared" si="72"/>
        <v>1</v>
      </c>
      <c r="X23" s="34">
        <f t="shared" si="73"/>
        <v>660394</v>
      </c>
      <c r="Y23" s="26">
        <f t="shared" si="74"/>
        <v>0.28933254004207715</v>
      </c>
      <c r="Z23" s="40"/>
      <c r="AA23" s="40"/>
      <c r="AB23" s="40"/>
      <c r="AC23" s="40"/>
      <c r="AD23" s="40"/>
      <c r="AE23" s="40"/>
      <c r="AF23" s="40"/>
      <c r="AG23" s="40"/>
      <c r="AH23" s="40"/>
    </row>
    <row r="24" spans="1:34" ht="15" customHeight="1">
      <c r="A24" s="60"/>
      <c r="B24" s="36"/>
      <c r="C24" s="69" t="s">
        <v>84</v>
      </c>
      <c r="D24" s="207">
        <v>5407806</v>
      </c>
      <c r="E24" s="74" t="s">
        <v>90</v>
      </c>
      <c r="F24" s="71">
        <f>5237873/4</f>
        <v>1309468.25</v>
      </c>
      <c r="G24" s="30">
        <f t="shared" si="22"/>
        <v>1309468.25</v>
      </c>
      <c r="H24" s="25">
        <f t="shared" si="60"/>
        <v>1</v>
      </c>
      <c r="I24" s="30">
        <f t="shared" si="61"/>
        <v>1309468.25</v>
      </c>
      <c r="J24" s="26">
        <f t="shared" si="62"/>
        <v>0.24214408763923853</v>
      </c>
      <c r="K24" s="30">
        <f t="shared" si="63"/>
        <v>1309468.25</v>
      </c>
      <c r="L24" s="30">
        <f t="shared" si="27"/>
        <v>1309468.25</v>
      </c>
      <c r="M24" s="25">
        <f t="shared" si="64"/>
        <v>1</v>
      </c>
      <c r="N24" s="34">
        <f t="shared" si="65"/>
        <v>2618936.5</v>
      </c>
      <c r="O24" s="26">
        <f t="shared" si="66"/>
        <v>0.48428817527847706</v>
      </c>
      <c r="P24" s="30">
        <f t="shared" si="67"/>
        <v>1309468.25</v>
      </c>
      <c r="Q24" s="30">
        <f t="shared" si="32"/>
        <v>1309468.25</v>
      </c>
      <c r="R24" s="25">
        <f t="shared" si="68"/>
        <v>1</v>
      </c>
      <c r="S24" s="28">
        <f t="shared" si="69"/>
        <v>3928404.75</v>
      </c>
      <c r="T24" s="26">
        <f t="shared" si="70"/>
        <v>0.72643226291771557</v>
      </c>
      <c r="U24" s="30">
        <f t="shared" si="71"/>
        <v>1309468.25</v>
      </c>
      <c r="V24" s="30">
        <f t="shared" si="37"/>
        <v>1309468.25</v>
      </c>
      <c r="W24" s="25">
        <f t="shared" si="72"/>
        <v>1</v>
      </c>
      <c r="X24" s="34">
        <f t="shared" si="73"/>
        <v>5237873</v>
      </c>
      <c r="Y24" s="26">
        <f t="shared" si="74"/>
        <v>0.96857635055695412</v>
      </c>
      <c r="Z24" s="40"/>
      <c r="AA24" s="40"/>
      <c r="AB24" s="40"/>
      <c r="AC24" s="40"/>
      <c r="AD24" s="40"/>
      <c r="AE24" s="40"/>
      <c r="AF24" s="40"/>
      <c r="AG24" s="40"/>
      <c r="AH24" s="40"/>
    </row>
    <row r="25" spans="1:34" ht="15" customHeight="1">
      <c r="A25" s="60"/>
      <c r="B25" s="36"/>
      <c r="C25" s="69" t="s">
        <v>85</v>
      </c>
      <c r="D25" s="207">
        <v>678138</v>
      </c>
      <c r="E25" s="74" t="s">
        <v>90</v>
      </c>
      <c r="F25" s="71">
        <f>1313151/4</f>
        <v>328287.75</v>
      </c>
      <c r="G25" s="30">
        <f t="shared" si="22"/>
        <v>328287.75</v>
      </c>
      <c r="H25" s="25">
        <f t="shared" si="60"/>
        <v>1</v>
      </c>
      <c r="I25" s="30">
        <f t="shared" si="61"/>
        <v>328287.75</v>
      </c>
      <c r="J25" s="26">
        <f t="shared" si="62"/>
        <v>0.48410168726719338</v>
      </c>
      <c r="K25" s="30">
        <f t="shared" si="63"/>
        <v>328287.75</v>
      </c>
      <c r="L25" s="30">
        <f t="shared" si="27"/>
        <v>328287.75</v>
      </c>
      <c r="M25" s="25">
        <f t="shared" si="64"/>
        <v>1</v>
      </c>
      <c r="N25" s="34">
        <f t="shared" si="65"/>
        <v>656575.5</v>
      </c>
      <c r="O25" s="26">
        <f t="shared" si="66"/>
        <v>0.96820337453438676</v>
      </c>
      <c r="P25" s="30">
        <f t="shared" si="67"/>
        <v>328287.75</v>
      </c>
      <c r="Q25" s="30">
        <f t="shared" si="32"/>
        <v>328287.75</v>
      </c>
      <c r="R25" s="25">
        <f t="shared" si="68"/>
        <v>1</v>
      </c>
      <c r="S25" s="28">
        <f t="shared" si="69"/>
        <v>984863.25</v>
      </c>
      <c r="T25" s="26">
        <f t="shared" si="70"/>
        <v>1.4523050618015803</v>
      </c>
      <c r="U25" s="30">
        <f t="shared" si="71"/>
        <v>328287.75</v>
      </c>
      <c r="V25" s="30">
        <f t="shared" si="37"/>
        <v>328287.75</v>
      </c>
      <c r="W25" s="25">
        <f t="shared" si="72"/>
        <v>1</v>
      </c>
      <c r="X25" s="34">
        <f t="shared" si="73"/>
        <v>1313151</v>
      </c>
      <c r="Y25" s="26">
        <f t="shared" si="74"/>
        <v>1.9364067490687735</v>
      </c>
      <c r="Z25" s="40"/>
      <c r="AA25" s="40"/>
      <c r="AB25" s="40"/>
      <c r="AC25" s="40"/>
      <c r="AD25" s="40"/>
      <c r="AE25" s="40"/>
      <c r="AF25" s="40"/>
      <c r="AG25" s="40"/>
      <c r="AH25" s="40"/>
    </row>
    <row r="26" spans="1:34" ht="15" customHeight="1">
      <c r="A26" s="60"/>
      <c r="B26" s="36"/>
      <c r="C26" s="69" t="s">
        <v>86</v>
      </c>
      <c r="D26" s="207">
        <v>750108</v>
      </c>
      <c r="E26" s="75" t="s">
        <v>34</v>
      </c>
      <c r="F26" s="71">
        <f>718189/4</f>
        <v>179547.25</v>
      </c>
      <c r="G26" s="30">
        <f t="shared" ref="G26:G29" si="75">F26</f>
        <v>179547.25</v>
      </c>
      <c r="H26" s="25">
        <f t="shared" ref="H26:H29" si="76">G26/F26</f>
        <v>1</v>
      </c>
      <c r="I26" s="30">
        <f t="shared" ref="I26:I29" si="77">G26</f>
        <v>179547.25</v>
      </c>
      <c r="J26" s="26">
        <f t="shared" ref="J26:J29" si="78">G26/$D26</f>
        <v>0.23936186522474098</v>
      </c>
      <c r="K26" s="30">
        <f t="shared" ref="K26:K29" si="79">F26</f>
        <v>179547.25</v>
      </c>
      <c r="L26" s="30">
        <f t="shared" ref="L26:L29" si="80">K26</f>
        <v>179547.25</v>
      </c>
      <c r="M26" s="25">
        <f t="shared" ref="M26:M29" si="81">L26/K26</f>
        <v>1</v>
      </c>
      <c r="N26" s="34">
        <f t="shared" ref="N26:N29" si="82">G26+L26</f>
        <v>359094.5</v>
      </c>
      <c r="O26" s="26">
        <f t="shared" ref="O26:O29" si="83">N26/$D26</f>
        <v>0.47872373044948197</v>
      </c>
      <c r="P26" s="30">
        <f t="shared" ref="P26:P29" si="84">F26</f>
        <v>179547.25</v>
      </c>
      <c r="Q26" s="30">
        <f t="shared" ref="Q26:Q29" si="85">P26</f>
        <v>179547.25</v>
      </c>
      <c r="R26" s="25">
        <f t="shared" ref="R26:R29" si="86">Q26/P26</f>
        <v>1</v>
      </c>
      <c r="S26" s="28">
        <f t="shared" ref="S26:S29" si="87">Q26+N26</f>
        <v>538641.75</v>
      </c>
      <c r="T26" s="26">
        <f t="shared" ref="T26:T29" si="88">S26/$D26</f>
        <v>0.71808559567422292</v>
      </c>
      <c r="U26" s="30">
        <f t="shared" ref="U26:U29" si="89">F26</f>
        <v>179547.25</v>
      </c>
      <c r="V26" s="30">
        <f t="shared" ref="V26:V29" si="90">U26</f>
        <v>179547.25</v>
      </c>
      <c r="W26" s="25">
        <f t="shared" ref="W26:W29" si="91">V26/U26</f>
        <v>1</v>
      </c>
      <c r="X26" s="34">
        <f t="shared" ref="X26:X29" si="92">S26+V26</f>
        <v>718189</v>
      </c>
      <c r="Y26" s="26">
        <f t="shared" ref="Y26:Y29" si="93">X26/$D26</f>
        <v>0.95744746089896393</v>
      </c>
      <c r="Z26" s="40"/>
      <c r="AA26" s="40"/>
      <c r="AB26" s="40"/>
      <c r="AC26" s="40"/>
      <c r="AD26" s="40"/>
      <c r="AE26" s="40"/>
      <c r="AF26" s="40"/>
      <c r="AG26" s="40"/>
      <c r="AH26" s="40"/>
    </row>
    <row r="27" spans="1:34" ht="15" customHeight="1">
      <c r="A27" s="60"/>
      <c r="B27" s="36"/>
      <c r="C27" s="69" t="s">
        <v>87</v>
      </c>
      <c r="D27" s="207">
        <v>55835000</v>
      </c>
      <c r="E27" s="75" t="s">
        <v>34</v>
      </c>
      <c r="F27" s="71">
        <f>61445899/4</f>
        <v>15361474.75</v>
      </c>
      <c r="G27" s="30">
        <f t="shared" si="75"/>
        <v>15361474.75</v>
      </c>
      <c r="H27" s="25">
        <f t="shared" si="76"/>
        <v>1</v>
      </c>
      <c r="I27" s="30">
        <f t="shared" si="77"/>
        <v>15361474.75</v>
      </c>
      <c r="J27" s="26">
        <f t="shared" si="78"/>
        <v>0.27512267842750965</v>
      </c>
      <c r="K27" s="30">
        <f t="shared" si="79"/>
        <v>15361474.75</v>
      </c>
      <c r="L27" s="30">
        <f t="shared" si="80"/>
        <v>15361474.75</v>
      </c>
      <c r="M27" s="25">
        <f t="shared" si="81"/>
        <v>1</v>
      </c>
      <c r="N27" s="34">
        <f t="shared" si="82"/>
        <v>30722949.5</v>
      </c>
      <c r="O27" s="26">
        <f t="shared" si="83"/>
        <v>0.5502453568550193</v>
      </c>
      <c r="P27" s="30">
        <f t="shared" si="84"/>
        <v>15361474.75</v>
      </c>
      <c r="Q27" s="30">
        <f t="shared" si="85"/>
        <v>15361474.75</v>
      </c>
      <c r="R27" s="25">
        <f t="shared" si="86"/>
        <v>1</v>
      </c>
      <c r="S27" s="28">
        <f t="shared" si="87"/>
        <v>46084424.25</v>
      </c>
      <c r="T27" s="26">
        <f t="shared" si="88"/>
        <v>0.82536803528252889</v>
      </c>
      <c r="U27" s="30">
        <f t="shared" si="89"/>
        <v>15361474.75</v>
      </c>
      <c r="V27" s="30">
        <f t="shared" si="90"/>
        <v>15361474.75</v>
      </c>
      <c r="W27" s="25">
        <f t="shared" si="91"/>
        <v>1</v>
      </c>
      <c r="X27" s="34">
        <f t="shared" si="92"/>
        <v>61445899</v>
      </c>
      <c r="Y27" s="26">
        <f t="shared" si="93"/>
        <v>1.1004907137100386</v>
      </c>
      <c r="Z27" s="40"/>
      <c r="AA27" s="40"/>
      <c r="AB27" s="40"/>
      <c r="AC27" s="40"/>
      <c r="AD27" s="40"/>
      <c r="AE27" s="40"/>
      <c r="AF27" s="40"/>
      <c r="AG27" s="40"/>
      <c r="AH27" s="40"/>
    </row>
    <row r="28" spans="1:34" ht="15" customHeight="1">
      <c r="A28" s="60"/>
      <c r="B28" s="36"/>
      <c r="C28" s="70" t="s">
        <v>88</v>
      </c>
      <c r="D28" s="208">
        <v>806.8</v>
      </c>
      <c r="E28" s="76" t="s">
        <v>32</v>
      </c>
      <c r="F28" s="71">
        <f>723.94/4</f>
        <v>180.98500000000001</v>
      </c>
      <c r="G28" s="30">
        <f t="shared" si="75"/>
        <v>180.98500000000001</v>
      </c>
      <c r="H28" s="25">
        <f t="shared" si="76"/>
        <v>1</v>
      </c>
      <c r="I28" s="30">
        <f t="shared" si="77"/>
        <v>180.98500000000001</v>
      </c>
      <c r="J28" s="26">
        <f t="shared" si="78"/>
        <v>0.22432449181953398</v>
      </c>
      <c r="K28" s="30">
        <f t="shared" si="79"/>
        <v>180.98500000000001</v>
      </c>
      <c r="L28" s="30">
        <f t="shared" si="80"/>
        <v>180.98500000000001</v>
      </c>
      <c r="M28" s="25">
        <f t="shared" si="81"/>
        <v>1</v>
      </c>
      <c r="N28" s="34">
        <f t="shared" si="82"/>
        <v>361.97</v>
      </c>
      <c r="O28" s="26">
        <f t="shared" si="83"/>
        <v>0.44864898363906797</v>
      </c>
      <c r="P28" s="30">
        <f t="shared" si="84"/>
        <v>180.98500000000001</v>
      </c>
      <c r="Q28" s="30">
        <f t="shared" si="85"/>
        <v>180.98500000000001</v>
      </c>
      <c r="R28" s="25">
        <f t="shared" si="86"/>
        <v>1</v>
      </c>
      <c r="S28" s="28">
        <f t="shared" si="87"/>
        <v>542.95500000000004</v>
      </c>
      <c r="T28" s="26">
        <f t="shared" si="88"/>
        <v>0.67297347545860198</v>
      </c>
      <c r="U28" s="30">
        <f t="shared" si="89"/>
        <v>180.98500000000001</v>
      </c>
      <c r="V28" s="30">
        <f t="shared" si="90"/>
        <v>180.98500000000001</v>
      </c>
      <c r="W28" s="25">
        <f t="shared" si="91"/>
        <v>1</v>
      </c>
      <c r="X28" s="33">
        <f t="shared" si="92"/>
        <v>723.94</v>
      </c>
      <c r="Y28" s="26">
        <f t="shared" si="93"/>
        <v>0.89729796727813593</v>
      </c>
      <c r="Z28" s="40"/>
      <c r="AA28" s="40"/>
      <c r="AB28" s="40"/>
      <c r="AC28" s="40"/>
      <c r="AD28" s="40"/>
      <c r="AE28" s="40"/>
      <c r="AF28" s="40"/>
      <c r="AG28" s="40"/>
      <c r="AH28" s="40"/>
    </row>
    <row r="29" spans="1:34" ht="15" customHeight="1">
      <c r="A29" s="60"/>
      <c r="B29" s="36"/>
      <c r="C29" s="70" t="s">
        <v>89</v>
      </c>
      <c r="D29" s="207">
        <v>3361</v>
      </c>
      <c r="E29" s="76" t="s">
        <v>32</v>
      </c>
      <c r="F29" s="71">
        <f>3275.9/4</f>
        <v>818.97500000000002</v>
      </c>
      <c r="G29" s="30">
        <f t="shared" si="75"/>
        <v>818.97500000000002</v>
      </c>
      <c r="H29" s="25">
        <f t="shared" si="76"/>
        <v>1</v>
      </c>
      <c r="I29" s="30">
        <f t="shared" si="77"/>
        <v>818.97500000000002</v>
      </c>
      <c r="J29" s="26">
        <f t="shared" si="78"/>
        <v>0.24367003867896461</v>
      </c>
      <c r="K29" s="30">
        <f t="shared" si="79"/>
        <v>818.97500000000002</v>
      </c>
      <c r="L29" s="30">
        <f t="shared" si="80"/>
        <v>818.97500000000002</v>
      </c>
      <c r="M29" s="25">
        <f t="shared" si="81"/>
        <v>1</v>
      </c>
      <c r="N29" s="34">
        <f t="shared" si="82"/>
        <v>1637.95</v>
      </c>
      <c r="O29" s="26">
        <f t="shared" si="83"/>
        <v>0.48734007735792922</v>
      </c>
      <c r="P29" s="30">
        <f t="shared" si="84"/>
        <v>818.97500000000002</v>
      </c>
      <c r="Q29" s="30">
        <f t="shared" si="85"/>
        <v>818.97500000000002</v>
      </c>
      <c r="R29" s="25">
        <f t="shared" si="86"/>
        <v>1</v>
      </c>
      <c r="S29" s="28">
        <f t="shared" si="87"/>
        <v>2456.9250000000002</v>
      </c>
      <c r="T29" s="26">
        <f t="shared" si="88"/>
        <v>0.73101011603689381</v>
      </c>
      <c r="U29" s="30">
        <f t="shared" si="89"/>
        <v>818.97500000000002</v>
      </c>
      <c r="V29" s="30">
        <f t="shared" si="90"/>
        <v>818.97500000000002</v>
      </c>
      <c r="W29" s="25">
        <f t="shared" si="91"/>
        <v>1</v>
      </c>
      <c r="X29" s="33">
        <f t="shared" si="92"/>
        <v>3275.9</v>
      </c>
      <c r="Y29" s="26">
        <f t="shared" si="93"/>
        <v>0.97468015471585845</v>
      </c>
      <c r="Z29" s="40"/>
      <c r="AA29" s="40"/>
      <c r="AB29" s="40"/>
      <c r="AC29" s="40"/>
      <c r="AD29" s="40"/>
      <c r="AE29" s="40"/>
      <c r="AF29" s="40"/>
      <c r="AG29" s="40"/>
      <c r="AH29" s="40"/>
    </row>
    <row r="30" spans="1:34">
      <c r="A30" s="60"/>
      <c r="B30" s="36"/>
      <c r="C30" s="49"/>
      <c r="D30" s="78"/>
      <c r="E30" s="73"/>
      <c r="F30" s="30"/>
      <c r="G30" s="30"/>
      <c r="H30" s="25"/>
      <c r="I30" s="30"/>
      <c r="J30" s="26"/>
      <c r="K30" s="30"/>
      <c r="L30" s="30"/>
      <c r="M30" s="25"/>
      <c r="N30" s="34"/>
      <c r="O30" s="26"/>
      <c r="P30" s="30"/>
      <c r="Q30" s="30"/>
      <c r="R30" s="25"/>
      <c r="S30" s="28"/>
      <c r="T30" s="26"/>
      <c r="U30" s="30"/>
      <c r="V30" s="30"/>
      <c r="W30" s="25"/>
      <c r="X30" s="34"/>
      <c r="Y30" s="26"/>
      <c r="Z30" s="40"/>
      <c r="AA30" s="40"/>
      <c r="AB30" s="40"/>
      <c r="AC30" s="40"/>
      <c r="AD30" s="40"/>
      <c r="AE30" s="40"/>
      <c r="AF30" s="40"/>
      <c r="AG30" s="40"/>
      <c r="AH30" s="40"/>
    </row>
    <row r="31" spans="1:34" ht="34.5" customHeight="1">
      <c r="A31" s="46">
        <v>3</v>
      </c>
      <c r="B31" s="42" t="s">
        <v>35</v>
      </c>
      <c r="C31" s="43" t="s">
        <v>36</v>
      </c>
      <c r="D31" s="41">
        <v>66000</v>
      </c>
      <c r="E31" s="29" t="s">
        <v>37</v>
      </c>
      <c r="F31" s="30">
        <f>2700/4</f>
        <v>675</v>
      </c>
      <c r="G31" s="30">
        <f>F31</f>
        <v>675</v>
      </c>
      <c r="H31" s="25">
        <f t="shared" ref="H31" si="94">G31/F31</f>
        <v>1</v>
      </c>
      <c r="I31" s="30">
        <f t="shared" ref="I31" si="95">G31</f>
        <v>675</v>
      </c>
      <c r="J31" s="26">
        <f t="shared" ref="J31" si="96">G31/$D31</f>
        <v>1.0227272727272727E-2</v>
      </c>
      <c r="K31" s="30">
        <f t="shared" ref="K31" si="97">F31</f>
        <v>675</v>
      </c>
      <c r="L31" s="30">
        <f>K31</f>
        <v>675</v>
      </c>
      <c r="M31" s="25">
        <f t="shared" ref="M31" si="98">L31/K31</f>
        <v>1</v>
      </c>
      <c r="N31" s="34">
        <f t="shared" ref="N31" si="99">G31+L31</f>
        <v>1350</v>
      </c>
      <c r="O31" s="26">
        <f t="shared" ref="O31" si="100">N31/$D31</f>
        <v>2.0454545454545454E-2</v>
      </c>
      <c r="P31" s="30">
        <f t="shared" ref="P31" si="101">F31</f>
        <v>675</v>
      </c>
      <c r="Q31" s="30">
        <f>P31</f>
        <v>675</v>
      </c>
      <c r="R31" s="25">
        <f t="shared" ref="R31" si="102">Q31/P31</f>
        <v>1</v>
      </c>
      <c r="S31" s="28">
        <f t="shared" ref="S31" si="103">Q31+N31</f>
        <v>2025</v>
      </c>
      <c r="T31" s="26">
        <f t="shared" ref="T31" si="104">S31/$D31</f>
        <v>3.0681818181818182E-2</v>
      </c>
      <c r="U31" s="30">
        <f t="shared" ref="U31" si="105">F31</f>
        <v>675</v>
      </c>
      <c r="V31" s="30">
        <f>U31</f>
        <v>675</v>
      </c>
      <c r="W31" s="25">
        <f t="shared" ref="W31:W35" si="106">V31/U31</f>
        <v>1</v>
      </c>
      <c r="X31" s="34">
        <f t="shared" ref="X31" si="107">S31+V31</f>
        <v>2700</v>
      </c>
      <c r="Y31" s="26">
        <f t="shared" ref="Y31" si="108">X31/$D31</f>
        <v>4.0909090909090909E-2</v>
      </c>
    </row>
    <row r="32" spans="1:34" ht="51" customHeight="1">
      <c r="A32" s="46">
        <v>4</v>
      </c>
      <c r="B32" s="98" t="s">
        <v>91</v>
      </c>
      <c r="C32" s="42" t="s">
        <v>92</v>
      </c>
      <c r="D32" s="41">
        <v>1</v>
      </c>
      <c r="E32" s="29" t="s">
        <v>93</v>
      </c>
      <c r="F32" s="30">
        <f>D32/4</f>
        <v>0.25</v>
      </c>
      <c r="G32" s="30">
        <v>0</v>
      </c>
      <c r="H32" s="25">
        <f t="shared" ref="H32:H35" si="109">G32/F32</f>
        <v>0</v>
      </c>
      <c r="I32" s="30">
        <f t="shared" ref="I32:I35" si="110">G32</f>
        <v>0</v>
      </c>
      <c r="J32" s="26">
        <f t="shared" ref="J32:J35" si="111">G32/$D32</f>
        <v>0</v>
      </c>
      <c r="K32" s="30">
        <f t="shared" ref="K32" si="112">F32</f>
        <v>0.25</v>
      </c>
      <c r="L32" s="30">
        <v>0</v>
      </c>
      <c r="M32" s="25">
        <f t="shared" ref="M32:M35" si="113">L32/K32</f>
        <v>0</v>
      </c>
      <c r="N32" s="34">
        <f t="shared" ref="N32:N35" si="114">G32+L32</f>
        <v>0</v>
      </c>
      <c r="O32" s="26">
        <f t="shared" ref="O32:O35" si="115">N32/$D32</f>
        <v>0</v>
      </c>
      <c r="P32" s="30">
        <v>1</v>
      </c>
      <c r="Q32" s="30">
        <f>P32</f>
        <v>1</v>
      </c>
      <c r="R32" s="25">
        <f t="shared" ref="R32:R35" si="116">Q32/P32</f>
        <v>1</v>
      </c>
      <c r="S32" s="28">
        <f t="shared" ref="S32:S35" si="117">Q32+N32</f>
        <v>1</v>
      </c>
      <c r="T32" s="26">
        <f t="shared" ref="T32:T35" si="118">S32/$D32</f>
        <v>1</v>
      </c>
      <c r="U32" s="30">
        <v>0</v>
      </c>
      <c r="V32" s="30">
        <v>0</v>
      </c>
      <c r="W32" s="25">
        <v>0</v>
      </c>
      <c r="X32" s="34">
        <f t="shared" ref="X32:X35" si="119">S32+V32</f>
        <v>1</v>
      </c>
      <c r="Y32" s="26">
        <f t="shared" ref="Y32:Y35" si="120">X32/$D32</f>
        <v>1</v>
      </c>
    </row>
    <row r="33" spans="1:25" ht="64.5" customHeight="1">
      <c r="A33" s="46">
        <v>5</v>
      </c>
      <c r="B33" s="42" t="s">
        <v>94</v>
      </c>
      <c r="C33" s="42" t="s">
        <v>95</v>
      </c>
      <c r="D33" s="41">
        <v>15</v>
      </c>
      <c r="E33" s="29" t="s">
        <v>96</v>
      </c>
      <c r="F33" s="71">
        <v>0</v>
      </c>
      <c r="G33" s="30">
        <f t="shared" ref="G33:G35" si="121">F33</f>
        <v>0</v>
      </c>
      <c r="H33" s="25">
        <v>0</v>
      </c>
      <c r="I33" s="30">
        <f t="shared" si="110"/>
        <v>0</v>
      </c>
      <c r="J33" s="26">
        <f t="shared" si="111"/>
        <v>0</v>
      </c>
      <c r="K33" s="30">
        <v>3</v>
      </c>
      <c r="L33" s="30">
        <f t="shared" ref="L33:L35" si="122">K33</f>
        <v>3</v>
      </c>
      <c r="M33" s="25">
        <f t="shared" si="113"/>
        <v>1</v>
      </c>
      <c r="N33" s="34">
        <f t="shared" si="114"/>
        <v>3</v>
      </c>
      <c r="O33" s="26">
        <f t="shared" si="115"/>
        <v>0.2</v>
      </c>
      <c r="P33" s="30">
        <v>6</v>
      </c>
      <c r="Q33" s="30">
        <f t="shared" ref="Q33:Q35" si="123">P33</f>
        <v>6</v>
      </c>
      <c r="R33" s="25">
        <f t="shared" si="116"/>
        <v>1</v>
      </c>
      <c r="S33" s="28">
        <f t="shared" si="117"/>
        <v>9</v>
      </c>
      <c r="T33" s="26">
        <f t="shared" si="118"/>
        <v>0.6</v>
      </c>
      <c r="U33" s="30">
        <v>6</v>
      </c>
      <c r="V33" s="30">
        <f t="shared" ref="V33:V35" si="124">U33</f>
        <v>6</v>
      </c>
      <c r="W33" s="25">
        <f t="shared" si="106"/>
        <v>1</v>
      </c>
      <c r="X33" s="34">
        <f t="shared" si="119"/>
        <v>15</v>
      </c>
      <c r="Y33" s="26">
        <f t="shared" si="120"/>
        <v>1</v>
      </c>
    </row>
    <row r="34" spans="1:25" ht="48" customHeight="1">
      <c r="A34" s="50">
        <v>6</v>
      </c>
      <c r="B34" s="51" t="s">
        <v>97</v>
      </c>
      <c r="C34" s="99" t="s">
        <v>98</v>
      </c>
      <c r="D34" s="41">
        <v>70</v>
      </c>
      <c r="E34" s="29" t="s">
        <v>57</v>
      </c>
      <c r="F34" s="71">
        <f t="shared" ref="F34" si="125">D34/4</f>
        <v>17.5</v>
      </c>
      <c r="G34" s="30">
        <f t="shared" si="121"/>
        <v>17.5</v>
      </c>
      <c r="H34" s="25">
        <f t="shared" si="109"/>
        <v>1</v>
      </c>
      <c r="I34" s="30">
        <f t="shared" si="110"/>
        <v>17.5</v>
      </c>
      <c r="J34" s="26">
        <f t="shared" si="111"/>
        <v>0.25</v>
      </c>
      <c r="K34" s="30">
        <f t="shared" ref="K34" si="126">F34</f>
        <v>17.5</v>
      </c>
      <c r="L34" s="30">
        <f t="shared" si="122"/>
        <v>17.5</v>
      </c>
      <c r="M34" s="25">
        <f t="shared" si="113"/>
        <v>1</v>
      </c>
      <c r="N34" s="34">
        <f t="shared" si="114"/>
        <v>35</v>
      </c>
      <c r="O34" s="26">
        <f t="shared" si="115"/>
        <v>0.5</v>
      </c>
      <c r="P34" s="30">
        <f t="shared" ref="P34" si="127">F34</f>
        <v>17.5</v>
      </c>
      <c r="Q34" s="30">
        <f t="shared" si="123"/>
        <v>17.5</v>
      </c>
      <c r="R34" s="25">
        <f t="shared" si="116"/>
        <v>1</v>
      </c>
      <c r="S34" s="28">
        <f t="shared" si="117"/>
        <v>52.5</v>
      </c>
      <c r="T34" s="26">
        <f t="shared" si="118"/>
        <v>0.75</v>
      </c>
      <c r="U34" s="30">
        <f t="shared" ref="U34" si="128">F34</f>
        <v>17.5</v>
      </c>
      <c r="V34" s="30">
        <f t="shared" si="124"/>
        <v>17.5</v>
      </c>
      <c r="W34" s="25">
        <f t="shared" si="106"/>
        <v>1</v>
      </c>
      <c r="X34" s="34">
        <f t="shared" si="119"/>
        <v>70</v>
      </c>
      <c r="Y34" s="26">
        <f t="shared" si="120"/>
        <v>1</v>
      </c>
    </row>
    <row r="35" spans="1:25" ht="34.5" customHeight="1">
      <c r="A35" s="61"/>
      <c r="B35" s="114"/>
      <c r="C35" s="99" t="s">
        <v>99</v>
      </c>
      <c r="D35" s="41">
        <v>100</v>
      </c>
      <c r="E35" s="29" t="s">
        <v>96</v>
      </c>
      <c r="F35" s="71">
        <f>97/4</f>
        <v>24.25</v>
      </c>
      <c r="G35" s="30">
        <f t="shared" si="121"/>
        <v>24.25</v>
      </c>
      <c r="H35" s="25">
        <f t="shared" si="109"/>
        <v>1</v>
      </c>
      <c r="I35" s="30">
        <f t="shared" si="110"/>
        <v>24.25</v>
      </c>
      <c r="J35" s="26">
        <f t="shared" si="111"/>
        <v>0.24249999999999999</v>
      </c>
      <c r="K35" s="30">
        <f>F35</f>
        <v>24.25</v>
      </c>
      <c r="L35" s="30">
        <f t="shared" si="122"/>
        <v>24.25</v>
      </c>
      <c r="M35" s="25">
        <f t="shared" si="113"/>
        <v>1</v>
      </c>
      <c r="N35" s="34">
        <f t="shared" si="114"/>
        <v>48.5</v>
      </c>
      <c r="O35" s="26">
        <f t="shared" si="115"/>
        <v>0.48499999999999999</v>
      </c>
      <c r="P35" s="30">
        <f>F35</f>
        <v>24.25</v>
      </c>
      <c r="Q35" s="30">
        <f t="shared" si="123"/>
        <v>24.25</v>
      </c>
      <c r="R35" s="25">
        <f t="shared" si="116"/>
        <v>1</v>
      </c>
      <c r="S35" s="28">
        <f t="shared" si="117"/>
        <v>72.75</v>
      </c>
      <c r="T35" s="26">
        <f t="shared" si="118"/>
        <v>0.72750000000000004</v>
      </c>
      <c r="U35" s="30">
        <f>F35</f>
        <v>24.25</v>
      </c>
      <c r="V35" s="30">
        <f t="shared" si="124"/>
        <v>24.25</v>
      </c>
      <c r="W35" s="25">
        <f t="shared" si="106"/>
        <v>1</v>
      </c>
      <c r="X35" s="34">
        <f t="shared" si="119"/>
        <v>97</v>
      </c>
      <c r="Y35" s="26">
        <f t="shared" si="120"/>
        <v>0.97</v>
      </c>
    </row>
    <row r="36" spans="1:25" ht="51" customHeight="1">
      <c r="A36" s="46">
        <v>7</v>
      </c>
      <c r="B36" s="42" t="s">
        <v>100</v>
      </c>
      <c r="C36" s="42" t="s">
        <v>101</v>
      </c>
      <c r="D36" s="41">
        <v>100</v>
      </c>
      <c r="E36" s="29" t="s">
        <v>16</v>
      </c>
      <c r="F36" s="71">
        <f>D36/4</f>
        <v>25</v>
      </c>
      <c r="G36" s="30">
        <f t="shared" ref="G36" si="129">F36</f>
        <v>25</v>
      </c>
      <c r="H36" s="25">
        <f t="shared" ref="H36" si="130">G36/F36</f>
        <v>1</v>
      </c>
      <c r="I36" s="30">
        <f t="shared" ref="I36" si="131">G36</f>
        <v>25</v>
      </c>
      <c r="J36" s="26">
        <f t="shared" ref="J36" si="132">G36/$D36</f>
        <v>0.25</v>
      </c>
      <c r="K36" s="30">
        <f>F36</f>
        <v>25</v>
      </c>
      <c r="L36" s="30">
        <f t="shared" ref="L36" si="133">K36</f>
        <v>25</v>
      </c>
      <c r="M36" s="25">
        <f t="shared" ref="M36" si="134">L36/K36</f>
        <v>1</v>
      </c>
      <c r="N36" s="34">
        <f t="shared" ref="N36" si="135">G36+L36</f>
        <v>50</v>
      </c>
      <c r="O36" s="26">
        <f t="shared" ref="O36" si="136">N36/$D36</f>
        <v>0.5</v>
      </c>
      <c r="P36" s="30">
        <f>F36</f>
        <v>25</v>
      </c>
      <c r="Q36" s="30">
        <f t="shared" ref="Q36" si="137">P36</f>
        <v>25</v>
      </c>
      <c r="R36" s="25">
        <f t="shared" ref="R36" si="138">Q36/P36</f>
        <v>1</v>
      </c>
      <c r="S36" s="28">
        <f t="shared" ref="S36" si="139">Q36+N36</f>
        <v>75</v>
      </c>
      <c r="T36" s="26">
        <f t="shared" ref="T36" si="140">S36/$D36</f>
        <v>0.75</v>
      </c>
      <c r="U36" s="30">
        <f>F36</f>
        <v>25</v>
      </c>
      <c r="V36" s="30">
        <f t="shared" ref="V36" si="141">U36</f>
        <v>25</v>
      </c>
      <c r="W36" s="25">
        <f t="shared" ref="W36" si="142">V36/U36</f>
        <v>1</v>
      </c>
      <c r="X36" s="34">
        <f t="shared" ref="X36" si="143">S36+V36</f>
        <v>100</v>
      </c>
      <c r="Y36" s="26">
        <f t="shared" ref="Y36" si="144">X36/$D36</f>
        <v>1</v>
      </c>
    </row>
    <row r="37" spans="1:25" ht="77.25" customHeight="1">
      <c r="A37" s="46">
        <v>8</v>
      </c>
      <c r="B37" s="42" t="s">
        <v>102</v>
      </c>
      <c r="C37" s="42" t="s">
        <v>103</v>
      </c>
      <c r="D37" s="41">
        <v>34</v>
      </c>
      <c r="E37" s="29" t="s">
        <v>104</v>
      </c>
      <c r="F37" s="71">
        <f>D37/4</f>
        <v>8.5</v>
      </c>
      <c r="G37" s="30">
        <f>F37</f>
        <v>8.5</v>
      </c>
      <c r="H37" s="25">
        <v>1</v>
      </c>
      <c r="I37" s="30">
        <f t="shared" ref="I37" si="145">G37</f>
        <v>8.5</v>
      </c>
      <c r="J37" s="26">
        <f t="shared" ref="J37" si="146">G37/$D37</f>
        <v>0.25</v>
      </c>
      <c r="K37" s="30">
        <f>F37</f>
        <v>8.5</v>
      </c>
      <c r="L37" s="30">
        <f t="shared" ref="L37" si="147">K37</f>
        <v>8.5</v>
      </c>
      <c r="M37" s="25">
        <f t="shared" ref="M37" si="148">L37/K37</f>
        <v>1</v>
      </c>
      <c r="N37" s="34">
        <f t="shared" ref="N37" si="149">G37+L37</f>
        <v>17</v>
      </c>
      <c r="O37" s="26">
        <f t="shared" ref="O37" si="150">N37/$D37</f>
        <v>0.5</v>
      </c>
      <c r="P37" s="30">
        <f>F37</f>
        <v>8.5</v>
      </c>
      <c r="Q37" s="30">
        <f t="shared" ref="Q37" si="151">P37</f>
        <v>8.5</v>
      </c>
      <c r="R37" s="25">
        <v>0</v>
      </c>
      <c r="S37" s="28">
        <f t="shared" ref="S37" si="152">Q37+N37</f>
        <v>25.5</v>
      </c>
      <c r="T37" s="26">
        <f t="shared" ref="T37" si="153">S37/$D37</f>
        <v>0.75</v>
      </c>
      <c r="U37" s="30">
        <f>F37</f>
        <v>8.5</v>
      </c>
      <c r="V37" s="30">
        <f t="shared" ref="V37" si="154">U37</f>
        <v>8.5</v>
      </c>
      <c r="W37" s="25">
        <f t="shared" ref="W37" si="155">V37/U37</f>
        <v>1</v>
      </c>
      <c r="X37" s="34">
        <f t="shared" ref="X37" si="156">S37+V37</f>
        <v>34</v>
      </c>
      <c r="Y37" s="26">
        <f t="shared" ref="Y37" si="157">X37/$D37</f>
        <v>1</v>
      </c>
    </row>
    <row r="38" spans="1:25" ht="51" customHeight="1">
      <c r="A38" s="46">
        <v>9</v>
      </c>
      <c r="B38" s="42" t="s">
        <v>105</v>
      </c>
      <c r="C38" s="42" t="s">
        <v>40</v>
      </c>
      <c r="D38" s="41">
        <v>1</v>
      </c>
      <c r="E38" s="29" t="s">
        <v>155</v>
      </c>
      <c r="F38" s="71">
        <v>0</v>
      </c>
      <c r="G38" s="30">
        <v>0</v>
      </c>
      <c r="H38" s="25">
        <v>0</v>
      </c>
      <c r="I38" s="30">
        <f t="shared" ref="I38" si="158">G38</f>
        <v>0</v>
      </c>
      <c r="J38" s="26">
        <f t="shared" ref="J38" si="159">G38/$D38</f>
        <v>0</v>
      </c>
      <c r="K38" s="30">
        <v>0</v>
      </c>
      <c r="L38" s="30">
        <v>0</v>
      </c>
      <c r="M38" s="25">
        <v>0</v>
      </c>
      <c r="N38" s="34">
        <f t="shared" ref="N38" si="160">G38+L38</f>
        <v>0</v>
      </c>
      <c r="O38" s="26">
        <f t="shared" ref="O38" si="161">N38/$D38</f>
        <v>0</v>
      </c>
      <c r="P38" s="30">
        <v>1</v>
      </c>
      <c r="Q38" s="30">
        <f t="shared" ref="Q38" si="162">P38</f>
        <v>1</v>
      </c>
      <c r="R38" s="25">
        <f t="shared" ref="R38" si="163">Q38/P38</f>
        <v>1</v>
      </c>
      <c r="S38" s="28">
        <f t="shared" ref="S38" si="164">Q38+N38</f>
        <v>1</v>
      </c>
      <c r="T38" s="26">
        <f t="shared" ref="T38" si="165">S38/$D38</f>
        <v>1</v>
      </c>
      <c r="U38" s="30">
        <v>0</v>
      </c>
      <c r="V38" s="30">
        <v>0</v>
      </c>
      <c r="W38" s="25">
        <v>0</v>
      </c>
      <c r="X38" s="34">
        <f t="shared" ref="X38" si="166">S38+V38</f>
        <v>1</v>
      </c>
      <c r="Y38" s="26">
        <f t="shared" ref="Y38" si="167">X38/$D38</f>
        <v>1</v>
      </c>
    </row>
    <row r="39" spans="1:25" ht="81.75" customHeight="1">
      <c r="A39" s="50">
        <v>10</v>
      </c>
      <c r="B39" s="51" t="s">
        <v>106</v>
      </c>
      <c r="C39" s="113" t="s">
        <v>156</v>
      </c>
      <c r="D39" s="101">
        <v>7120</v>
      </c>
      <c r="E39" s="209" t="s">
        <v>157</v>
      </c>
      <c r="F39" s="112">
        <f>163/4</f>
        <v>40.75</v>
      </c>
      <c r="G39" s="102">
        <f>F39</f>
        <v>40.75</v>
      </c>
      <c r="H39" s="103">
        <f t="shared" ref="H39" si="168">G39/F39</f>
        <v>1</v>
      </c>
      <c r="I39" s="102">
        <f t="shared" ref="I39" si="169">G39</f>
        <v>40.75</v>
      </c>
      <c r="J39" s="104">
        <f t="shared" ref="J39" si="170">G39/$D39</f>
        <v>5.723314606741573E-3</v>
      </c>
      <c r="K39" s="102">
        <f>F39</f>
        <v>40.75</v>
      </c>
      <c r="L39" s="102">
        <f>G39</f>
        <v>40.75</v>
      </c>
      <c r="M39" s="103">
        <f t="shared" ref="M39" si="171">L39/K39</f>
        <v>1</v>
      </c>
      <c r="N39" s="105">
        <f t="shared" ref="N39" si="172">G39+L39</f>
        <v>81.5</v>
      </c>
      <c r="O39" s="104">
        <f t="shared" ref="O39" si="173">N39/$D39</f>
        <v>1.1446629213483146E-2</v>
      </c>
      <c r="P39" s="102">
        <f>F39</f>
        <v>40.75</v>
      </c>
      <c r="Q39" s="102">
        <f t="shared" ref="Q39" si="174">P39</f>
        <v>40.75</v>
      </c>
      <c r="R39" s="103">
        <f t="shared" ref="R39" si="175">Q39/P39</f>
        <v>1</v>
      </c>
      <c r="S39" s="106">
        <f t="shared" ref="S39" si="176">Q39+N39</f>
        <v>122.25</v>
      </c>
      <c r="T39" s="104">
        <f t="shared" ref="T39" si="177">S39/$D39</f>
        <v>1.7169943820224718E-2</v>
      </c>
      <c r="U39" s="102">
        <f>F39</f>
        <v>40.75</v>
      </c>
      <c r="V39" s="102">
        <f t="shared" ref="V39" si="178">U39</f>
        <v>40.75</v>
      </c>
      <c r="W39" s="103">
        <f t="shared" ref="W39" si="179">V39/U39</f>
        <v>1</v>
      </c>
      <c r="X39" s="105">
        <f t="shared" ref="X39" si="180">S39+V39</f>
        <v>163</v>
      </c>
      <c r="Y39" s="104">
        <f t="shared" ref="Y39" si="181">X39/$D39</f>
        <v>2.2893258426966292E-2</v>
      </c>
    </row>
    <row r="40" spans="1:25" ht="36" customHeight="1">
      <c r="A40" s="50">
        <v>11</v>
      </c>
      <c r="B40" s="51" t="s">
        <v>107</v>
      </c>
      <c r="C40" s="51" t="s">
        <v>158</v>
      </c>
      <c r="D40" s="120">
        <v>124</v>
      </c>
      <c r="E40" s="72" t="s">
        <v>96</v>
      </c>
      <c r="F40" s="102">
        <f>93/4</f>
        <v>23.25</v>
      </c>
      <c r="G40" s="102">
        <f>F40</f>
        <v>23.25</v>
      </c>
      <c r="H40" s="103">
        <f t="shared" ref="H40:H41" si="182">G40/F40</f>
        <v>1</v>
      </c>
      <c r="I40" s="102">
        <f t="shared" ref="I40:I41" si="183">G40</f>
        <v>23.25</v>
      </c>
      <c r="J40" s="119">
        <f>G40/D40</f>
        <v>0.1875</v>
      </c>
      <c r="K40" s="102">
        <f>F40</f>
        <v>23.25</v>
      </c>
      <c r="L40" s="102">
        <f t="shared" ref="L40" si="184">K40</f>
        <v>23.25</v>
      </c>
      <c r="M40" s="103">
        <f t="shared" ref="M40:M41" si="185">L40/K40</f>
        <v>1</v>
      </c>
      <c r="N40" s="105">
        <f t="shared" ref="N40:N41" si="186">G40+L40</f>
        <v>46.5</v>
      </c>
      <c r="O40" s="104">
        <f t="shared" ref="O40:O41" si="187">N40/$D40</f>
        <v>0.375</v>
      </c>
      <c r="P40" s="102">
        <f>F40</f>
        <v>23.25</v>
      </c>
      <c r="Q40" s="102">
        <f t="shared" ref="Q40:Q41" si="188">P40</f>
        <v>23.25</v>
      </c>
      <c r="R40" s="103">
        <f t="shared" ref="R40:R41" si="189">Q40/P40</f>
        <v>1</v>
      </c>
      <c r="S40" s="106">
        <f t="shared" ref="S40:S41" si="190">Q40+N40</f>
        <v>69.75</v>
      </c>
      <c r="T40" s="104">
        <f t="shared" ref="T40:T41" si="191">S40/$D40</f>
        <v>0.5625</v>
      </c>
      <c r="U40" s="102">
        <f>F40</f>
        <v>23.25</v>
      </c>
      <c r="V40" s="102">
        <f t="shared" ref="V40:V41" si="192">U40</f>
        <v>23.25</v>
      </c>
      <c r="W40" s="103">
        <f t="shared" ref="W40:W41" si="193">V40/U40</f>
        <v>1</v>
      </c>
      <c r="X40" s="105">
        <f t="shared" ref="X40:X41" si="194">S40+V40</f>
        <v>93</v>
      </c>
      <c r="Y40" s="104">
        <f t="shared" ref="Y40:Y41" si="195">X40/$D40</f>
        <v>0.75</v>
      </c>
    </row>
    <row r="41" spans="1:25" ht="36" customHeight="1">
      <c r="A41" s="45"/>
      <c r="B41" s="38"/>
      <c r="C41" s="42" t="s">
        <v>159</v>
      </c>
      <c r="D41" s="68">
        <v>49</v>
      </c>
      <c r="E41" s="147" t="s">
        <v>16</v>
      </c>
      <c r="F41" s="30">
        <f>59.78/4</f>
        <v>14.945</v>
      </c>
      <c r="G41" s="30">
        <f>59.78/4</f>
        <v>14.945</v>
      </c>
      <c r="H41" s="103">
        <f t="shared" si="182"/>
        <v>1</v>
      </c>
      <c r="I41" s="102">
        <f t="shared" si="183"/>
        <v>14.945</v>
      </c>
      <c r="J41" s="119">
        <f>G41/D41</f>
        <v>0.30499999999999999</v>
      </c>
      <c r="K41" s="30">
        <f>G41</f>
        <v>14.945</v>
      </c>
      <c r="L41" s="30">
        <f>K41</f>
        <v>14.945</v>
      </c>
      <c r="M41" s="103">
        <f t="shared" si="185"/>
        <v>1</v>
      </c>
      <c r="N41" s="105">
        <f t="shared" si="186"/>
        <v>29.89</v>
      </c>
      <c r="O41" s="104">
        <f t="shared" si="187"/>
        <v>0.61</v>
      </c>
      <c r="P41" s="30">
        <f>F41</f>
        <v>14.945</v>
      </c>
      <c r="Q41" s="30">
        <f t="shared" si="188"/>
        <v>14.945</v>
      </c>
      <c r="R41" s="25">
        <f t="shared" si="189"/>
        <v>1</v>
      </c>
      <c r="S41" s="28">
        <f t="shared" si="190"/>
        <v>44.835000000000001</v>
      </c>
      <c r="T41" s="26">
        <f t="shared" si="191"/>
        <v>0.91500000000000004</v>
      </c>
      <c r="U41" s="30">
        <f>F41</f>
        <v>14.945</v>
      </c>
      <c r="V41" s="30">
        <f t="shared" si="192"/>
        <v>14.945</v>
      </c>
      <c r="W41" s="25">
        <f t="shared" si="193"/>
        <v>1</v>
      </c>
      <c r="X41" s="33">
        <f t="shared" si="194"/>
        <v>59.78</v>
      </c>
      <c r="Y41" s="26">
        <f t="shared" si="195"/>
        <v>1.22</v>
      </c>
    </row>
    <row r="42" spans="1:25" ht="36" customHeight="1">
      <c r="A42" s="45"/>
      <c r="B42" s="38"/>
      <c r="C42" s="42" t="s">
        <v>160</v>
      </c>
      <c r="D42" s="210">
        <v>1000</v>
      </c>
      <c r="E42" s="147" t="s">
        <v>164</v>
      </c>
      <c r="F42" s="30">
        <f>836/4</f>
        <v>209</v>
      </c>
      <c r="G42" s="30">
        <f>F42</f>
        <v>209</v>
      </c>
      <c r="H42" s="103">
        <f t="shared" ref="H42:H46" si="196">G42/F42</f>
        <v>1</v>
      </c>
      <c r="I42" s="102">
        <f t="shared" ref="I42:I46" si="197">G42</f>
        <v>209</v>
      </c>
      <c r="J42" s="119">
        <f>G42/D42</f>
        <v>0.20899999999999999</v>
      </c>
      <c r="K42" s="30">
        <f t="shared" ref="K42:K45" si="198">G42</f>
        <v>209</v>
      </c>
      <c r="L42" s="30">
        <f t="shared" ref="L42:L46" si="199">K42</f>
        <v>209</v>
      </c>
      <c r="M42" s="103">
        <f t="shared" ref="M42:M46" si="200">L42/K42</f>
        <v>1</v>
      </c>
      <c r="N42" s="105">
        <f t="shared" ref="N42:N46" si="201">G42+L42</f>
        <v>418</v>
      </c>
      <c r="O42" s="104">
        <f t="shared" ref="O42:O46" si="202">N42/$D42</f>
        <v>0.41799999999999998</v>
      </c>
      <c r="P42" s="30">
        <f t="shared" ref="P42:P45" si="203">F42</f>
        <v>209</v>
      </c>
      <c r="Q42" s="30">
        <f t="shared" ref="Q42:Q46" si="204">P42</f>
        <v>209</v>
      </c>
      <c r="R42" s="25">
        <f t="shared" ref="R42:R46" si="205">Q42/P42</f>
        <v>1</v>
      </c>
      <c r="S42" s="28">
        <f t="shared" ref="S42:S46" si="206">Q42+N42</f>
        <v>627</v>
      </c>
      <c r="T42" s="26">
        <f t="shared" ref="T42:T46" si="207">S42/$D42</f>
        <v>0.627</v>
      </c>
      <c r="U42" s="30">
        <f t="shared" ref="U42:U45" si="208">F42</f>
        <v>209</v>
      </c>
      <c r="V42" s="30">
        <f t="shared" ref="V42:V46" si="209">U42</f>
        <v>209</v>
      </c>
      <c r="W42" s="25">
        <f t="shared" ref="W42:W46" si="210">V42/U42</f>
        <v>1</v>
      </c>
      <c r="X42" s="34">
        <f t="shared" ref="X42:X46" si="211">S42+V42</f>
        <v>836</v>
      </c>
      <c r="Y42" s="26">
        <f t="shared" ref="Y42:Y46" si="212">X42/$D42</f>
        <v>0.83599999999999997</v>
      </c>
    </row>
    <row r="43" spans="1:25" ht="36" customHeight="1">
      <c r="A43" s="45"/>
      <c r="B43" s="38"/>
      <c r="C43" s="42" t="s">
        <v>161</v>
      </c>
      <c r="D43" s="68">
        <v>14.75</v>
      </c>
      <c r="E43" s="147" t="s">
        <v>16</v>
      </c>
      <c r="F43" s="30">
        <f>14.21/4</f>
        <v>3.5525000000000002</v>
      </c>
      <c r="G43" s="30">
        <f>F43</f>
        <v>3.5525000000000002</v>
      </c>
      <c r="H43" s="103">
        <f t="shared" si="196"/>
        <v>1</v>
      </c>
      <c r="I43" s="102">
        <f t="shared" si="197"/>
        <v>3.5525000000000002</v>
      </c>
      <c r="J43" s="119">
        <f t="shared" ref="J43:J45" si="213">G43/D43</f>
        <v>0.24084745762711865</v>
      </c>
      <c r="K43" s="30">
        <f>F43</f>
        <v>3.5525000000000002</v>
      </c>
      <c r="L43" s="30">
        <f t="shared" si="199"/>
        <v>3.5525000000000002</v>
      </c>
      <c r="M43" s="103">
        <f t="shared" si="200"/>
        <v>1</v>
      </c>
      <c r="N43" s="105">
        <f t="shared" si="201"/>
        <v>7.1050000000000004</v>
      </c>
      <c r="O43" s="104">
        <f t="shared" si="202"/>
        <v>0.4816949152542373</v>
      </c>
      <c r="P43" s="30">
        <f t="shared" si="203"/>
        <v>3.5525000000000002</v>
      </c>
      <c r="Q43" s="30">
        <f t="shared" si="204"/>
        <v>3.5525000000000002</v>
      </c>
      <c r="R43" s="25">
        <f t="shared" si="205"/>
        <v>1</v>
      </c>
      <c r="S43" s="28">
        <f t="shared" si="206"/>
        <v>10.657500000000001</v>
      </c>
      <c r="T43" s="26">
        <f t="shared" si="207"/>
        <v>0.72254237288135592</v>
      </c>
      <c r="U43" s="30">
        <f t="shared" si="208"/>
        <v>3.5525000000000002</v>
      </c>
      <c r="V43" s="30">
        <f t="shared" si="209"/>
        <v>3.5525000000000002</v>
      </c>
      <c r="W43" s="25">
        <f t="shared" si="210"/>
        <v>1</v>
      </c>
      <c r="X43" s="33">
        <f t="shared" si="211"/>
        <v>14.21</v>
      </c>
      <c r="Y43" s="26">
        <f t="shared" si="212"/>
        <v>0.9633898305084746</v>
      </c>
    </row>
    <row r="44" spans="1:25" ht="36" customHeight="1">
      <c r="A44" s="45"/>
      <c r="B44" s="38"/>
      <c r="C44" s="42" t="s">
        <v>162</v>
      </c>
      <c r="D44" s="68">
        <v>3.89</v>
      </c>
      <c r="E44" s="147" t="s">
        <v>16</v>
      </c>
      <c r="F44" s="30">
        <f>4.81/4</f>
        <v>1.2024999999999999</v>
      </c>
      <c r="G44" s="30">
        <f>F44</f>
        <v>1.2024999999999999</v>
      </c>
      <c r="H44" s="103">
        <f t="shared" si="196"/>
        <v>1</v>
      </c>
      <c r="I44" s="102">
        <f t="shared" si="197"/>
        <v>1.2024999999999999</v>
      </c>
      <c r="J44" s="119">
        <f t="shared" si="213"/>
        <v>0.30912596401028275</v>
      </c>
      <c r="K44" s="30">
        <f t="shared" si="198"/>
        <v>1.2024999999999999</v>
      </c>
      <c r="L44" s="30">
        <f t="shared" si="199"/>
        <v>1.2024999999999999</v>
      </c>
      <c r="M44" s="103">
        <f t="shared" si="200"/>
        <v>1</v>
      </c>
      <c r="N44" s="105">
        <f t="shared" si="201"/>
        <v>2.4049999999999998</v>
      </c>
      <c r="O44" s="104">
        <f t="shared" si="202"/>
        <v>0.6182519280205655</v>
      </c>
      <c r="P44" s="30">
        <f t="shared" si="203"/>
        <v>1.2024999999999999</v>
      </c>
      <c r="Q44" s="30">
        <f t="shared" si="204"/>
        <v>1.2024999999999999</v>
      </c>
      <c r="R44" s="25">
        <f t="shared" si="205"/>
        <v>1</v>
      </c>
      <c r="S44" s="28">
        <f t="shared" si="206"/>
        <v>3.6074999999999999</v>
      </c>
      <c r="T44" s="26">
        <f t="shared" si="207"/>
        <v>0.92737789203084831</v>
      </c>
      <c r="U44" s="30">
        <f t="shared" si="208"/>
        <v>1.2024999999999999</v>
      </c>
      <c r="V44" s="30">
        <f t="shared" si="209"/>
        <v>1.2024999999999999</v>
      </c>
      <c r="W44" s="25">
        <f t="shared" si="210"/>
        <v>1</v>
      </c>
      <c r="X44" s="33">
        <f t="shared" si="211"/>
        <v>4.8099999999999996</v>
      </c>
      <c r="Y44" s="26">
        <f t="shared" si="212"/>
        <v>1.236503856041131</v>
      </c>
    </row>
    <row r="45" spans="1:25" ht="36" customHeight="1">
      <c r="A45" s="45"/>
      <c r="B45" s="38"/>
      <c r="C45" s="42" t="s">
        <v>163</v>
      </c>
      <c r="D45" s="68">
        <v>72</v>
      </c>
      <c r="E45" s="147" t="s">
        <v>16</v>
      </c>
      <c r="F45" s="30">
        <f>75.57/4</f>
        <v>18.892499999999998</v>
      </c>
      <c r="G45" s="30">
        <f>F45</f>
        <v>18.892499999999998</v>
      </c>
      <c r="H45" s="103">
        <f t="shared" si="196"/>
        <v>1</v>
      </c>
      <c r="I45" s="102">
        <f t="shared" si="197"/>
        <v>18.892499999999998</v>
      </c>
      <c r="J45" s="119">
        <f t="shared" si="213"/>
        <v>0.26239583333333333</v>
      </c>
      <c r="K45" s="30">
        <f t="shared" si="198"/>
        <v>18.892499999999998</v>
      </c>
      <c r="L45" s="30">
        <f t="shared" si="199"/>
        <v>18.892499999999998</v>
      </c>
      <c r="M45" s="103">
        <f t="shared" si="200"/>
        <v>1</v>
      </c>
      <c r="N45" s="105">
        <f t="shared" si="201"/>
        <v>37.784999999999997</v>
      </c>
      <c r="O45" s="104">
        <f t="shared" si="202"/>
        <v>0.52479166666666666</v>
      </c>
      <c r="P45" s="30">
        <f t="shared" si="203"/>
        <v>18.892499999999998</v>
      </c>
      <c r="Q45" s="30">
        <f t="shared" si="204"/>
        <v>18.892499999999998</v>
      </c>
      <c r="R45" s="25">
        <f t="shared" si="205"/>
        <v>1</v>
      </c>
      <c r="S45" s="28">
        <f t="shared" si="206"/>
        <v>56.677499999999995</v>
      </c>
      <c r="T45" s="26">
        <f t="shared" si="207"/>
        <v>0.78718749999999993</v>
      </c>
      <c r="U45" s="30">
        <f t="shared" si="208"/>
        <v>18.892499999999998</v>
      </c>
      <c r="V45" s="30">
        <f t="shared" si="209"/>
        <v>18.892499999999998</v>
      </c>
      <c r="W45" s="25">
        <f t="shared" si="210"/>
        <v>1</v>
      </c>
      <c r="X45" s="33">
        <f t="shared" si="211"/>
        <v>75.569999999999993</v>
      </c>
      <c r="Y45" s="26">
        <f t="shared" si="212"/>
        <v>1.0495833333333333</v>
      </c>
    </row>
    <row r="46" spans="1:25" ht="62.25" customHeight="1">
      <c r="A46" s="46">
        <v>12</v>
      </c>
      <c r="B46" s="100" t="s">
        <v>108</v>
      </c>
      <c r="C46" s="42" t="s">
        <v>152</v>
      </c>
      <c r="D46" s="122">
        <v>40</v>
      </c>
      <c r="E46" s="29" t="s">
        <v>155</v>
      </c>
      <c r="F46" s="71">
        <f>115/4</f>
        <v>28.75</v>
      </c>
      <c r="G46" s="30">
        <f t="shared" ref="G46" si="214">F46</f>
        <v>28.75</v>
      </c>
      <c r="H46" s="25">
        <f t="shared" si="196"/>
        <v>1</v>
      </c>
      <c r="I46" s="30">
        <f t="shared" si="197"/>
        <v>28.75</v>
      </c>
      <c r="J46" s="26">
        <f t="shared" ref="J46" si="215">G46/$D46</f>
        <v>0.71875</v>
      </c>
      <c r="K46" s="30">
        <f>G46</f>
        <v>28.75</v>
      </c>
      <c r="L46" s="30">
        <f t="shared" si="199"/>
        <v>28.75</v>
      </c>
      <c r="M46" s="25">
        <f t="shared" si="200"/>
        <v>1</v>
      </c>
      <c r="N46" s="34">
        <f t="shared" si="201"/>
        <v>57.5</v>
      </c>
      <c r="O46" s="26">
        <f t="shared" si="202"/>
        <v>1.4375</v>
      </c>
      <c r="P46" s="30">
        <f>F46</f>
        <v>28.75</v>
      </c>
      <c r="Q46" s="30">
        <f t="shared" si="204"/>
        <v>28.75</v>
      </c>
      <c r="R46" s="25">
        <f t="shared" si="205"/>
        <v>1</v>
      </c>
      <c r="S46" s="28">
        <f t="shared" si="206"/>
        <v>86.25</v>
      </c>
      <c r="T46" s="26">
        <f t="shared" si="207"/>
        <v>2.15625</v>
      </c>
      <c r="U46" s="30">
        <f>F46</f>
        <v>28.75</v>
      </c>
      <c r="V46" s="30">
        <f t="shared" si="209"/>
        <v>28.75</v>
      </c>
      <c r="W46" s="25">
        <f t="shared" si="210"/>
        <v>1</v>
      </c>
      <c r="X46" s="34">
        <f t="shared" si="211"/>
        <v>115</v>
      </c>
      <c r="Y46" s="193">
        <f t="shared" si="212"/>
        <v>2.875</v>
      </c>
    </row>
    <row r="47" spans="1:25" ht="63" customHeight="1">
      <c r="A47" s="46"/>
      <c r="B47" s="100"/>
      <c r="C47" s="42" t="s">
        <v>165</v>
      </c>
      <c r="D47" s="122">
        <v>9</v>
      </c>
      <c r="E47" s="29" t="s">
        <v>155</v>
      </c>
      <c r="F47" s="71">
        <f>D47/4</f>
        <v>2.25</v>
      </c>
      <c r="G47" s="30">
        <f t="shared" ref="G47" si="216">F47</f>
        <v>2.25</v>
      </c>
      <c r="H47" s="25">
        <f t="shared" ref="H47" si="217">G47/F47</f>
        <v>1</v>
      </c>
      <c r="I47" s="30">
        <f t="shared" ref="I47" si="218">G47</f>
        <v>2.25</v>
      </c>
      <c r="J47" s="26">
        <f t="shared" ref="J47" si="219">G47/$D47</f>
        <v>0.25</v>
      </c>
      <c r="K47" s="30">
        <f>G47</f>
        <v>2.25</v>
      </c>
      <c r="L47" s="30">
        <f t="shared" ref="L47" si="220">K47</f>
        <v>2.25</v>
      </c>
      <c r="M47" s="25">
        <f t="shared" ref="M47" si="221">L47/K47</f>
        <v>1</v>
      </c>
      <c r="N47" s="34">
        <f t="shared" ref="N47" si="222">G47+L47</f>
        <v>4.5</v>
      </c>
      <c r="O47" s="26">
        <f t="shared" ref="O47" si="223">N47/$D47</f>
        <v>0.5</v>
      </c>
      <c r="P47" s="30">
        <f>F47</f>
        <v>2.25</v>
      </c>
      <c r="Q47" s="30">
        <f t="shared" ref="Q47" si="224">P47</f>
        <v>2.25</v>
      </c>
      <c r="R47" s="25">
        <f t="shared" ref="R47" si="225">Q47/P47</f>
        <v>1</v>
      </c>
      <c r="S47" s="28">
        <f t="shared" ref="S47" si="226">Q47+N47</f>
        <v>6.75</v>
      </c>
      <c r="T47" s="26">
        <f t="shared" ref="T47" si="227">S47/$D47</f>
        <v>0.75</v>
      </c>
      <c r="U47" s="30">
        <f>F47</f>
        <v>2.25</v>
      </c>
      <c r="V47" s="30">
        <f t="shared" ref="V47" si="228">U47</f>
        <v>2.25</v>
      </c>
      <c r="W47" s="25">
        <f t="shared" ref="W47" si="229">V47/U47</f>
        <v>1</v>
      </c>
      <c r="X47" s="34">
        <f t="shared" ref="X47" si="230">S47+V47</f>
        <v>9</v>
      </c>
      <c r="Y47" s="26">
        <f t="shared" ref="Y47" si="231">X47/$D47</f>
        <v>1</v>
      </c>
    </row>
    <row r="48" spans="1:25" ht="30.75" customHeight="1">
      <c r="A48" s="123">
        <v>13</v>
      </c>
      <c r="B48" s="57" t="s">
        <v>42</v>
      </c>
      <c r="C48" s="201" t="s">
        <v>43</v>
      </c>
      <c r="D48" s="171">
        <v>90</v>
      </c>
      <c r="E48" s="202" t="s">
        <v>16</v>
      </c>
      <c r="F48" s="149">
        <f>114.35/4</f>
        <v>28.587499999999999</v>
      </c>
      <c r="G48" s="107">
        <f t="shared" si="22"/>
        <v>28.587499999999999</v>
      </c>
      <c r="H48" s="108">
        <f t="shared" ref="H48:H52" si="232">G48/F48</f>
        <v>1</v>
      </c>
      <c r="I48" s="107">
        <f t="shared" ref="I48:I52" si="233">G48</f>
        <v>28.587499999999999</v>
      </c>
      <c r="J48" s="109">
        <v>1</v>
      </c>
      <c r="K48" s="107">
        <f t="shared" ref="K48:K52" si="234">F48</f>
        <v>28.587499999999999</v>
      </c>
      <c r="L48" s="107">
        <f t="shared" si="27"/>
        <v>28.587499999999999</v>
      </c>
      <c r="M48" s="108">
        <f t="shared" ref="M48:M52" si="235">L48/K48</f>
        <v>1</v>
      </c>
      <c r="N48" s="110">
        <f t="shared" ref="N48:N52" si="236">G48+L48</f>
        <v>57.174999999999997</v>
      </c>
      <c r="O48" s="109">
        <f t="shared" ref="O48:O52" si="237">N48/$D48</f>
        <v>0.63527777777777772</v>
      </c>
      <c r="P48" s="107">
        <f t="shared" ref="P48:P52" si="238">F48</f>
        <v>28.587499999999999</v>
      </c>
      <c r="Q48" s="107">
        <f t="shared" si="32"/>
        <v>28.587499999999999</v>
      </c>
      <c r="R48" s="108">
        <f t="shared" ref="R48:R52" si="239">Q48/P48</f>
        <v>1</v>
      </c>
      <c r="S48" s="111">
        <f t="shared" ref="S48:S52" si="240">Q48+N48</f>
        <v>85.762499999999989</v>
      </c>
      <c r="T48" s="109">
        <v>1</v>
      </c>
      <c r="U48" s="107">
        <f t="shared" ref="U48:U52" si="241">F48</f>
        <v>28.587499999999999</v>
      </c>
      <c r="V48" s="107">
        <f t="shared" si="37"/>
        <v>28.587499999999999</v>
      </c>
      <c r="W48" s="108">
        <f t="shared" ref="W48:W52" si="242">V48/U48</f>
        <v>1</v>
      </c>
      <c r="X48" s="204">
        <f t="shared" ref="X48:X52" si="243">S48+V48</f>
        <v>114.35</v>
      </c>
      <c r="Y48" s="109">
        <f t="shared" ref="Y48:Y52" si="244">X48/$D48</f>
        <v>1.2705555555555554</v>
      </c>
    </row>
    <row r="49" spans="1:25" ht="30.75" customHeight="1">
      <c r="A49" s="123"/>
      <c r="B49" s="57"/>
      <c r="C49" s="201" t="s">
        <v>166</v>
      </c>
      <c r="D49" s="171">
        <v>90</v>
      </c>
      <c r="E49" s="202" t="s">
        <v>16</v>
      </c>
      <c r="F49" s="149">
        <f>90.76/4</f>
        <v>22.69</v>
      </c>
      <c r="G49" s="107">
        <f t="shared" ref="G49" si="245">F49</f>
        <v>22.69</v>
      </c>
      <c r="H49" s="108">
        <f t="shared" ref="H49" si="246">G49/F49</f>
        <v>1</v>
      </c>
      <c r="I49" s="107">
        <f t="shared" ref="I49" si="247">G49</f>
        <v>22.69</v>
      </c>
      <c r="J49" s="109">
        <v>1</v>
      </c>
      <c r="K49" s="107">
        <f t="shared" ref="K49" si="248">F49</f>
        <v>22.69</v>
      </c>
      <c r="L49" s="107">
        <f t="shared" ref="L49" si="249">K49</f>
        <v>22.69</v>
      </c>
      <c r="M49" s="108">
        <f t="shared" ref="M49" si="250">L49/K49</f>
        <v>1</v>
      </c>
      <c r="N49" s="110">
        <f t="shared" ref="N49:N51" si="251">G49+L49</f>
        <v>45.38</v>
      </c>
      <c r="O49" s="109">
        <f t="shared" ref="O49" si="252">N49/$D49</f>
        <v>0.50422222222222224</v>
      </c>
      <c r="P49" s="107">
        <f t="shared" ref="P49" si="253">F49</f>
        <v>22.69</v>
      </c>
      <c r="Q49" s="107">
        <f t="shared" ref="Q49" si="254">P49</f>
        <v>22.69</v>
      </c>
      <c r="R49" s="108">
        <f t="shared" ref="R49" si="255">Q49/P49</f>
        <v>1</v>
      </c>
      <c r="S49" s="111">
        <f t="shared" ref="S49" si="256">Q49+N49</f>
        <v>68.070000000000007</v>
      </c>
      <c r="T49" s="109">
        <v>1</v>
      </c>
      <c r="U49" s="107">
        <f t="shared" ref="U49" si="257">F49</f>
        <v>22.69</v>
      </c>
      <c r="V49" s="107">
        <f t="shared" ref="V49" si="258">U49</f>
        <v>22.69</v>
      </c>
      <c r="W49" s="108">
        <f t="shared" ref="W49" si="259">V49/U49</f>
        <v>1</v>
      </c>
      <c r="X49" s="204">
        <f t="shared" ref="X49" si="260">S49+V49</f>
        <v>90.76</v>
      </c>
      <c r="Y49" s="109">
        <f t="shared" ref="Y49" si="261">X49/$D49</f>
        <v>1.0084444444444445</v>
      </c>
    </row>
    <row r="50" spans="1:25" ht="28.5">
      <c r="A50" s="123"/>
      <c r="B50" s="57"/>
      <c r="C50" s="100" t="s">
        <v>109</v>
      </c>
      <c r="D50" s="118" t="s">
        <v>111</v>
      </c>
      <c r="E50" s="121" t="s">
        <v>77</v>
      </c>
      <c r="F50" s="118" t="s">
        <v>111</v>
      </c>
      <c r="G50" s="118" t="s">
        <v>111</v>
      </c>
      <c r="H50" s="25">
        <v>1</v>
      </c>
      <c r="I50" s="31"/>
      <c r="J50" s="26">
        <v>1</v>
      </c>
      <c r="K50" s="31" t="str">
        <f t="shared" si="234"/>
        <v>Terakreditasi</v>
      </c>
      <c r="L50" s="31" t="str">
        <f t="shared" si="27"/>
        <v>Terakreditasi</v>
      </c>
      <c r="M50" s="25">
        <v>1</v>
      </c>
      <c r="N50" s="34"/>
      <c r="O50" s="26">
        <v>1</v>
      </c>
      <c r="P50" s="31" t="str">
        <f t="shared" si="238"/>
        <v>Terakreditasi</v>
      </c>
      <c r="Q50" s="31" t="str">
        <f t="shared" si="32"/>
        <v>Terakreditasi</v>
      </c>
      <c r="R50" s="25">
        <v>1</v>
      </c>
      <c r="S50" s="28"/>
      <c r="T50" s="26">
        <v>1</v>
      </c>
      <c r="U50" s="31" t="str">
        <f t="shared" si="241"/>
        <v>Terakreditasi</v>
      </c>
      <c r="V50" s="31" t="str">
        <f t="shared" si="37"/>
        <v>Terakreditasi</v>
      </c>
      <c r="W50" s="25">
        <v>1</v>
      </c>
      <c r="X50" s="34"/>
      <c r="Y50" s="26">
        <v>1</v>
      </c>
    </row>
    <row r="51" spans="1:25" ht="33" customHeight="1">
      <c r="A51" s="123"/>
      <c r="B51" s="57"/>
      <c r="C51" s="100" t="s">
        <v>44</v>
      </c>
      <c r="D51" s="118">
        <v>80</v>
      </c>
      <c r="E51" s="121" t="s">
        <v>16</v>
      </c>
      <c r="F51" s="211">
        <f>66.7/4</f>
        <v>16.675000000000001</v>
      </c>
      <c r="G51" s="212">
        <f>F51</f>
        <v>16.675000000000001</v>
      </c>
      <c r="H51" s="25">
        <f t="shared" si="232"/>
        <v>1</v>
      </c>
      <c r="I51" s="212">
        <f t="shared" si="233"/>
        <v>16.675000000000001</v>
      </c>
      <c r="J51" s="26">
        <f t="shared" ref="J51:J52" si="262">G51/$D51</f>
        <v>0.2084375</v>
      </c>
      <c r="K51" s="212">
        <f>F51</f>
        <v>16.675000000000001</v>
      </c>
      <c r="L51" s="212">
        <f t="shared" si="27"/>
        <v>16.675000000000001</v>
      </c>
      <c r="M51" s="25">
        <f t="shared" si="235"/>
        <v>1</v>
      </c>
      <c r="N51" s="110">
        <f t="shared" si="251"/>
        <v>33.35</v>
      </c>
      <c r="O51" s="26">
        <f t="shared" si="237"/>
        <v>0.416875</v>
      </c>
      <c r="P51" s="212">
        <f>F51</f>
        <v>16.675000000000001</v>
      </c>
      <c r="Q51" s="212">
        <f t="shared" si="32"/>
        <v>16.675000000000001</v>
      </c>
      <c r="R51" s="25">
        <f t="shared" si="239"/>
        <v>1</v>
      </c>
      <c r="S51" s="28">
        <f t="shared" si="240"/>
        <v>50.025000000000006</v>
      </c>
      <c r="T51" s="26">
        <f t="shared" ref="T51:T52" si="263">S51/$D51</f>
        <v>0.62531250000000005</v>
      </c>
      <c r="U51" s="212">
        <f>F51</f>
        <v>16.675000000000001</v>
      </c>
      <c r="V51" s="212">
        <f>U51</f>
        <v>16.675000000000001</v>
      </c>
      <c r="W51" s="25">
        <f t="shared" si="242"/>
        <v>1</v>
      </c>
      <c r="X51" s="54">
        <f t="shared" si="243"/>
        <v>66.7</v>
      </c>
      <c r="Y51" s="26">
        <f t="shared" si="244"/>
        <v>0.83374999999999999</v>
      </c>
    </row>
    <row r="52" spans="1:25" ht="20.100000000000001" customHeight="1">
      <c r="A52" s="123"/>
      <c r="B52" s="126"/>
      <c r="C52" s="100" t="s">
        <v>45</v>
      </c>
      <c r="D52" s="118">
        <v>80</v>
      </c>
      <c r="E52" s="121" t="s">
        <v>16</v>
      </c>
      <c r="F52" s="71">
        <f>79/4</f>
        <v>19.75</v>
      </c>
      <c r="G52" s="30">
        <f t="shared" si="22"/>
        <v>19.75</v>
      </c>
      <c r="H52" s="25">
        <f t="shared" si="232"/>
        <v>1</v>
      </c>
      <c r="I52" s="30">
        <f t="shared" si="233"/>
        <v>19.75</v>
      </c>
      <c r="J52" s="26">
        <f t="shared" si="262"/>
        <v>0.24687500000000001</v>
      </c>
      <c r="K52" s="30">
        <f t="shared" si="234"/>
        <v>19.75</v>
      </c>
      <c r="L52" s="30">
        <f t="shared" si="27"/>
        <v>19.75</v>
      </c>
      <c r="M52" s="25">
        <f t="shared" si="235"/>
        <v>1</v>
      </c>
      <c r="N52" s="34">
        <f t="shared" si="236"/>
        <v>39.5</v>
      </c>
      <c r="O52" s="26">
        <f t="shared" si="237"/>
        <v>0.49375000000000002</v>
      </c>
      <c r="P52" s="30">
        <f t="shared" si="238"/>
        <v>19.75</v>
      </c>
      <c r="Q52" s="30">
        <f t="shared" si="32"/>
        <v>19.75</v>
      </c>
      <c r="R52" s="25">
        <f t="shared" si="239"/>
        <v>1</v>
      </c>
      <c r="S52" s="28">
        <f t="shared" si="240"/>
        <v>59.25</v>
      </c>
      <c r="T52" s="26">
        <f t="shared" si="263"/>
        <v>0.74062499999999998</v>
      </c>
      <c r="U52" s="30">
        <f t="shared" si="241"/>
        <v>19.75</v>
      </c>
      <c r="V52" s="30">
        <f t="shared" si="37"/>
        <v>19.75</v>
      </c>
      <c r="W52" s="25">
        <f t="shared" si="242"/>
        <v>1</v>
      </c>
      <c r="X52" s="34">
        <f t="shared" si="243"/>
        <v>79</v>
      </c>
      <c r="Y52" s="26">
        <f t="shared" si="244"/>
        <v>0.98750000000000004</v>
      </c>
    </row>
    <row r="53" spans="1:25" ht="20.100000000000001" customHeight="1">
      <c r="A53" s="123"/>
      <c r="B53" s="126"/>
      <c r="C53" s="100" t="s">
        <v>46</v>
      </c>
      <c r="D53" s="118" t="s">
        <v>115</v>
      </c>
      <c r="E53" s="121" t="s">
        <v>112</v>
      </c>
      <c r="F53" s="127">
        <v>1</v>
      </c>
      <c r="G53" s="31">
        <f t="shared" ref="G53" si="264">F53</f>
        <v>1</v>
      </c>
      <c r="H53" s="25">
        <f t="shared" ref="H53" si="265">G53/F53</f>
        <v>1</v>
      </c>
      <c r="I53" s="31">
        <f t="shared" ref="I53" si="266">G53</f>
        <v>1</v>
      </c>
      <c r="J53" s="26">
        <v>1</v>
      </c>
      <c r="K53" s="31">
        <f t="shared" ref="K53" si="267">F53</f>
        <v>1</v>
      </c>
      <c r="L53" s="31">
        <f t="shared" ref="L53" si="268">K53</f>
        <v>1</v>
      </c>
      <c r="M53" s="25">
        <f t="shared" ref="M53" si="269">L53/K53</f>
        <v>1</v>
      </c>
      <c r="N53" s="34">
        <f t="shared" ref="N53" si="270">G53+L53</f>
        <v>2</v>
      </c>
      <c r="O53" s="26">
        <v>1</v>
      </c>
      <c r="P53" s="31">
        <v>2</v>
      </c>
      <c r="Q53" s="31">
        <f t="shared" ref="Q53" si="271">P53</f>
        <v>2</v>
      </c>
      <c r="R53" s="25">
        <f t="shared" ref="R53:R54" si="272">Q53/P53</f>
        <v>1</v>
      </c>
      <c r="S53" s="28">
        <f t="shared" ref="S53" si="273">Q53+N53</f>
        <v>4</v>
      </c>
      <c r="T53" s="26">
        <v>1</v>
      </c>
      <c r="U53" s="31">
        <f t="shared" ref="U53" si="274">F53</f>
        <v>1</v>
      </c>
      <c r="V53" s="31">
        <f t="shared" ref="V53" si="275">U53</f>
        <v>1</v>
      </c>
      <c r="W53" s="25">
        <f t="shared" ref="W53" si="276">V53/U53</f>
        <v>1</v>
      </c>
      <c r="X53" s="34">
        <f t="shared" ref="X53" si="277">S53+V53</f>
        <v>5</v>
      </c>
      <c r="Y53" s="26">
        <v>0.83330000000000004</v>
      </c>
    </row>
    <row r="54" spans="1:25" ht="20.100000000000001" customHeight="1">
      <c r="A54" s="123"/>
      <c r="B54" s="126"/>
      <c r="C54" s="100" t="s">
        <v>47</v>
      </c>
      <c r="D54" s="118" t="s">
        <v>116</v>
      </c>
      <c r="E54" s="121" t="s">
        <v>113</v>
      </c>
      <c r="F54" s="71">
        <f>51/4</f>
        <v>12.75</v>
      </c>
      <c r="G54" s="30">
        <f>F54</f>
        <v>12.75</v>
      </c>
      <c r="H54" s="25">
        <v>1</v>
      </c>
      <c r="I54" s="30">
        <f t="shared" ref="I54:I58" si="278">G54</f>
        <v>12.75</v>
      </c>
      <c r="J54" s="26">
        <v>1</v>
      </c>
      <c r="K54" s="30">
        <f>F54</f>
        <v>12.75</v>
      </c>
      <c r="L54" s="30">
        <f t="shared" ref="L54:L58" si="279">K54</f>
        <v>12.75</v>
      </c>
      <c r="M54" s="25">
        <f t="shared" ref="M54:M58" si="280">L54/K54</f>
        <v>1</v>
      </c>
      <c r="N54" s="34">
        <f t="shared" ref="N54:N58" si="281">G54+L54</f>
        <v>25.5</v>
      </c>
      <c r="O54" s="26">
        <v>1</v>
      </c>
      <c r="P54" s="30">
        <f>F54</f>
        <v>12.75</v>
      </c>
      <c r="Q54" s="30">
        <f t="shared" ref="Q54:Q58" si="282">P54</f>
        <v>12.75</v>
      </c>
      <c r="R54" s="25">
        <f t="shared" si="272"/>
        <v>1</v>
      </c>
      <c r="S54" s="28">
        <f t="shared" ref="S54:S58" si="283">Q54+N54</f>
        <v>38.25</v>
      </c>
      <c r="T54" s="26">
        <v>1</v>
      </c>
      <c r="U54" s="30">
        <f>F54</f>
        <v>12.75</v>
      </c>
      <c r="V54" s="30">
        <f t="shared" ref="V54:V58" si="284">U54</f>
        <v>12.75</v>
      </c>
      <c r="W54" s="25">
        <f t="shared" ref="W54:W58" si="285">V54/U54</f>
        <v>1</v>
      </c>
      <c r="X54" s="34">
        <f t="shared" ref="X54:X58" si="286">S54+V54</f>
        <v>51</v>
      </c>
      <c r="Y54" s="26">
        <f>X54/50*100%</f>
        <v>1.02</v>
      </c>
    </row>
    <row r="55" spans="1:25" ht="20.100000000000001" customHeight="1">
      <c r="A55" s="123"/>
      <c r="B55" s="126"/>
      <c r="C55" s="100" t="s">
        <v>48</v>
      </c>
      <c r="D55" s="118" t="s">
        <v>117</v>
      </c>
      <c r="E55" s="121" t="s">
        <v>112</v>
      </c>
      <c r="F55" s="127">
        <v>0</v>
      </c>
      <c r="G55" s="31">
        <v>0</v>
      </c>
      <c r="H55" s="25">
        <v>0</v>
      </c>
      <c r="I55" s="31">
        <f t="shared" si="278"/>
        <v>0</v>
      </c>
      <c r="J55" s="26">
        <v>0</v>
      </c>
      <c r="K55" s="31">
        <f t="shared" ref="K55:K58" si="287">F55</f>
        <v>0</v>
      </c>
      <c r="L55" s="31">
        <f t="shared" si="279"/>
        <v>0</v>
      </c>
      <c r="M55" s="25">
        <v>0</v>
      </c>
      <c r="N55" s="34">
        <f t="shared" si="281"/>
        <v>0</v>
      </c>
      <c r="O55" s="26">
        <v>0</v>
      </c>
      <c r="P55" s="31">
        <v>0</v>
      </c>
      <c r="Q55" s="31">
        <f t="shared" si="282"/>
        <v>0</v>
      </c>
      <c r="R55" s="25">
        <v>1</v>
      </c>
      <c r="S55" s="28">
        <f t="shared" si="283"/>
        <v>0</v>
      </c>
      <c r="T55" s="26">
        <v>0</v>
      </c>
      <c r="U55" s="31">
        <v>1</v>
      </c>
      <c r="V55" s="31">
        <f t="shared" si="284"/>
        <v>1</v>
      </c>
      <c r="W55" s="25">
        <v>1</v>
      </c>
      <c r="X55" s="34">
        <f t="shared" si="286"/>
        <v>1</v>
      </c>
      <c r="Y55" s="26">
        <v>1</v>
      </c>
    </row>
    <row r="56" spans="1:25" ht="20.100000000000001" customHeight="1">
      <c r="A56" s="123"/>
      <c r="B56" s="126"/>
      <c r="C56" s="100" t="s">
        <v>49</v>
      </c>
      <c r="D56" s="118">
        <v>15</v>
      </c>
      <c r="E56" s="121" t="s">
        <v>16</v>
      </c>
      <c r="F56" s="71">
        <f>21/4</f>
        <v>5.25</v>
      </c>
      <c r="G56" s="30">
        <f t="shared" ref="G56:G58" si="288">F56</f>
        <v>5.25</v>
      </c>
      <c r="H56" s="25">
        <f t="shared" ref="H56:H58" si="289">G56/F56</f>
        <v>1</v>
      </c>
      <c r="I56" s="30">
        <f t="shared" si="278"/>
        <v>5.25</v>
      </c>
      <c r="J56" s="26">
        <f t="shared" ref="J56:J57" si="290">G56/$D56</f>
        <v>0.35</v>
      </c>
      <c r="K56" s="30">
        <f>F56</f>
        <v>5.25</v>
      </c>
      <c r="L56" s="30">
        <f t="shared" si="279"/>
        <v>5.25</v>
      </c>
      <c r="M56" s="25">
        <f t="shared" si="280"/>
        <v>1</v>
      </c>
      <c r="N56" s="34">
        <f t="shared" si="281"/>
        <v>10.5</v>
      </c>
      <c r="O56" s="26">
        <f t="shared" ref="O56:O57" si="291">N56/$D56</f>
        <v>0.7</v>
      </c>
      <c r="P56" s="30">
        <f>F56</f>
        <v>5.25</v>
      </c>
      <c r="Q56" s="30">
        <f t="shared" si="282"/>
        <v>5.25</v>
      </c>
      <c r="R56" s="25">
        <f t="shared" ref="R56:R57" si="292">Q56/P56</f>
        <v>1</v>
      </c>
      <c r="S56" s="28">
        <f t="shared" si="283"/>
        <v>15.75</v>
      </c>
      <c r="T56" s="26">
        <f t="shared" ref="T56:T57" si="293">S56/$D56</f>
        <v>1.05</v>
      </c>
      <c r="U56" s="30">
        <f>F56</f>
        <v>5.25</v>
      </c>
      <c r="V56" s="30">
        <f t="shared" si="284"/>
        <v>5.25</v>
      </c>
      <c r="W56" s="25">
        <f t="shared" si="285"/>
        <v>1</v>
      </c>
      <c r="X56" s="34">
        <f t="shared" si="286"/>
        <v>21</v>
      </c>
      <c r="Y56" s="26">
        <f t="shared" ref="Y56:Y58" si="294">X56/$D56</f>
        <v>1.4</v>
      </c>
    </row>
    <row r="57" spans="1:25" ht="20.100000000000001" customHeight="1">
      <c r="A57" s="123"/>
      <c r="B57" s="126"/>
      <c r="C57" s="200" t="s">
        <v>50</v>
      </c>
      <c r="D57" s="169">
        <v>30</v>
      </c>
      <c r="E57" s="140" t="s">
        <v>16</v>
      </c>
      <c r="F57" s="116">
        <f>41/4</f>
        <v>10.25</v>
      </c>
      <c r="G57" s="117">
        <f t="shared" si="288"/>
        <v>10.25</v>
      </c>
      <c r="H57" s="103">
        <f t="shared" si="289"/>
        <v>1</v>
      </c>
      <c r="I57" s="117">
        <f t="shared" si="278"/>
        <v>10.25</v>
      </c>
      <c r="J57" s="104">
        <f t="shared" si="290"/>
        <v>0.34166666666666667</v>
      </c>
      <c r="K57" s="117">
        <f>F57</f>
        <v>10.25</v>
      </c>
      <c r="L57" s="117">
        <f t="shared" si="279"/>
        <v>10.25</v>
      </c>
      <c r="M57" s="103">
        <f t="shared" si="280"/>
        <v>1</v>
      </c>
      <c r="N57" s="105">
        <f t="shared" si="281"/>
        <v>20.5</v>
      </c>
      <c r="O57" s="104">
        <f t="shared" si="291"/>
        <v>0.68333333333333335</v>
      </c>
      <c r="P57" s="117">
        <f>F57</f>
        <v>10.25</v>
      </c>
      <c r="Q57" s="117">
        <f>P57</f>
        <v>10.25</v>
      </c>
      <c r="R57" s="103">
        <f t="shared" si="292"/>
        <v>1</v>
      </c>
      <c r="S57" s="106">
        <f t="shared" si="283"/>
        <v>30.75</v>
      </c>
      <c r="T57" s="104">
        <f t="shared" si="293"/>
        <v>1.0249999999999999</v>
      </c>
      <c r="U57" s="117">
        <f>F57</f>
        <v>10.25</v>
      </c>
      <c r="V57" s="117">
        <f t="shared" si="284"/>
        <v>10.25</v>
      </c>
      <c r="W57" s="103">
        <f t="shared" si="285"/>
        <v>1</v>
      </c>
      <c r="X57" s="105">
        <f t="shared" si="286"/>
        <v>41</v>
      </c>
      <c r="Y57" s="104">
        <f t="shared" si="294"/>
        <v>1.3666666666666667</v>
      </c>
    </row>
    <row r="58" spans="1:25" ht="20.100000000000001" customHeight="1">
      <c r="A58" s="123"/>
      <c r="B58" s="126"/>
      <c r="C58" s="128" t="s">
        <v>110</v>
      </c>
      <c r="D58" s="130">
        <v>7743</v>
      </c>
      <c r="E58" s="121" t="s">
        <v>53</v>
      </c>
      <c r="F58" s="71">
        <f>8908/4</f>
        <v>2227</v>
      </c>
      <c r="G58" s="30">
        <f t="shared" si="288"/>
        <v>2227</v>
      </c>
      <c r="H58" s="25">
        <f t="shared" si="289"/>
        <v>1</v>
      </c>
      <c r="I58" s="30">
        <f t="shared" si="278"/>
        <v>2227</v>
      </c>
      <c r="J58" s="26">
        <v>1</v>
      </c>
      <c r="K58" s="30">
        <f t="shared" si="287"/>
        <v>2227</v>
      </c>
      <c r="L58" s="30">
        <f t="shared" si="279"/>
        <v>2227</v>
      </c>
      <c r="M58" s="25">
        <f t="shared" si="280"/>
        <v>1</v>
      </c>
      <c r="N58" s="34">
        <f t="shared" si="281"/>
        <v>4454</v>
      </c>
      <c r="O58" s="26">
        <v>1</v>
      </c>
      <c r="P58" s="30">
        <f t="shared" ref="P58" si="295">F58</f>
        <v>2227</v>
      </c>
      <c r="Q58" s="30">
        <f t="shared" si="282"/>
        <v>2227</v>
      </c>
      <c r="R58" s="25">
        <v>1</v>
      </c>
      <c r="S58" s="28">
        <f t="shared" si="283"/>
        <v>6681</v>
      </c>
      <c r="T58" s="26">
        <v>1</v>
      </c>
      <c r="U58" s="30">
        <f t="shared" ref="U58" si="296">F58</f>
        <v>2227</v>
      </c>
      <c r="V58" s="30">
        <f t="shared" si="284"/>
        <v>2227</v>
      </c>
      <c r="W58" s="25">
        <f t="shared" si="285"/>
        <v>1</v>
      </c>
      <c r="X58" s="34">
        <f t="shared" si="286"/>
        <v>8908</v>
      </c>
      <c r="Y58" s="104">
        <f t="shared" si="294"/>
        <v>1.1504584786258556</v>
      </c>
    </row>
    <row r="59" spans="1:25" ht="20.100000000000001" customHeight="1">
      <c r="A59" s="123"/>
      <c r="B59" s="126"/>
      <c r="C59" s="100" t="s">
        <v>51</v>
      </c>
      <c r="D59" s="130">
        <v>24566</v>
      </c>
      <c r="E59" s="121" t="s">
        <v>114</v>
      </c>
      <c r="F59" s="71">
        <f>37933/4</f>
        <v>9483.25</v>
      </c>
      <c r="G59" s="30">
        <f t="shared" ref="G59:G60" si="297">F59</f>
        <v>9483.25</v>
      </c>
      <c r="H59" s="25">
        <f t="shared" ref="H59" si="298">G59/F59</f>
        <v>1</v>
      </c>
      <c r="I59" s="30">
        <f t="shared" ref="I59:I60" si="299">G59</f>
        <v>9483.25</v>
      </c>
      <c r="J59" s="26">
        <f t="shared" ref="J59" si="300">G59/$D59</f>
        <v>0.38603150696084021</v>
      </c>
      <c r="K59" s="30">
        <f t="shared" ref="K59:K60" si="301">F59</f>
        <v>9483.25</v>
      </c>
      <c r="L59" s="30">
        <f t="shared" ref="L59:L60" si="302">K59</f>
        <v>9483.25</v>
      </c>
      <c r="M59" s="25">
        <f t="shared" ref="M59" si="303">L59/K59</f>
        <v>1</v>
      </c>
      <c r="N59" s="34">
        <f t="shared" ref="N59:N60" si="304">G59+L59</f>
        <v>18966.5</v>
      </c>
      <c r="O59" s="26">
        <f t="shared" ref="O59" si="305">N59/$D59</f>
        <v>0.77206301392168042</v>
      </c>
      <c r="P59" s="30">
        <f t="shared" ref="P59" si="306">F59</f>
        <v>9483.25</v>
      </c>
      <c r="Q59" s="30">
        <f t="shared" ref="Q59:Q60" si="307">P59</f>
        <v>9483.25</v>
      </c>
      <c r="R59" s="25">
        <f t="shared" ref="R59" si="308">Q59/P59</f>
        <v>1</v>
      </c>
      <c r="S59" s="28">
        <f t="shared" ref="S59:S60" si="309">Q59+N59</f>
        <v>28449.75</v>
      </c>
      <c r="T59" s="26">
        <f t="shared" ref="T59" si="310">S59/$D59</f>
        <v>1.1580945208825206</v>
      </c>
      <c r="U59" s="30">
        <f t="shared" ref="U59:U60" si="311">F59</f>
        <v>9483.25</v>
      </c>
      <c r="V59" s="30">
        <f t="shared" ref="V59:V60" si="312">U59</f>
        <v>9483.25</v>
      </c>
      <c r="W59" s="25">
        <f t="shared" ref="W59" si="313">V59/U59</f>
        <v>1</v>
      </c>
      <c r="X59" s="34">
        <f t="shared" ref="X59:X60" si="314">S59+V59</f>
        <v>37933</v>
      </c>
      <c r="Y59" s="26">
        <f t="shared" ref="Y59:Y60" si="315">X59/$D59</f>
        <v>1.5441260278433608</v>
      </c>
    </row>
    <row r="60" spans="1:25" ht="54.75" customHeight="1">
      <c r="A60" s="123"/>
      <c r="B60" s="124"/>
      <c r="C60" s="42" t="s">
        <v>52</v>
      </c>
      <c r="D60" s="129">
        <v>60</v>
      </c>
      <c r="E60" s="118" t="s">
        <v>16</v>
      </c>
      <c r="F60" s="71">
        <v>0</v>
      </c>
      <c r="G60" s="30">
        <f t="shared" si="297"/>
        <v>0</v>
      </c>
      <c r="H60" s="25">
        <v>0</v>
      </c>
      <c r="I60" s="30">
        <f t="shared" si="299"/>
        <v>0</v>
      </c>
      <c r="J60" s="26">
        <v>0</v>
      </c>
      <c r="K60" s="30">
        <f t="shared" si="301"/>
        <v>0</v>
      </c>
      <c r="L60" s="30">
        <f t="shared" si="302"/>
        <v>0</v>
      </c>
      <c r="M60" s="25">
        <v>0</v>
      </c>
      <c r="N60" s="34">
        <f t="shared" si="304"/>
        <v>0</v>
      </c>
      <c r="O60" s="26">
        <v>0</v>
      </c>
      <c r="P60" s="31">
        <v>2.8</v>
      </c>
      <c r="Q60" s="31">
        <f t="shared" si="307"/>
        <v>2.8</v>
      </c>
      <c r="R60" s="25">
        <v>1</v>
      </c>
      <c r="S60" s="32">
        <f t="shared" si="309"/>
        <v>2.8</v>
      </c>
      <c r="T60" s="26">
        <v>1</v>
      </c>
      <c r="U60" s="30">
        <f t="shared" si="311"/>
        <v>0</v>
      </c>
      <c r="V60" s="30">
        <f t="shared" si="312"/>
        <v>0</v>
      </c>
      <c r="W60" s="25">
        <v>0</v>
      </c>
      <c r="X60" s="33">
        <f t="shared" si="314"/>
        <v>2.8</v>
      </c>
      <c r="Y60" s="26">
        <f t="shared" si="315"/>
        <v>4.6666666666666662E-2</v>
      </c>
    </row>
    <row r="61" spans="1:25" ht="36.75" customHeight="1">
      <c r="A61" s="132">
        <v>14</v>
      </c>
      <c r="B61" s="134" t="s">
        <v>118</v>
      </c>
      <c r="C61" s="42" t="s">
        <v>54</v>
      </c>
      <c r="D61" s="122">
        <v>85</v>
      </c>
      <c r="E61" s="118" t="s">
        <v>16</v>
      </c>
      <c r="F61" s="71">
        <f>90/4</f>
        <v>22.5</v>
      </c>
      <c r="G61" s="30">
        <f t="shared" ref="G61" si="316">F61</f>
        <v>22.5</v>
      </c>
      <c r="H61" s="25">
        <f t="shared" ref="H61" si="317">G61/F61</f>
        <v>1</v>
      </c>
      <c r="I61" s="30">
        <f t="shared" ref="I61" si="318">G61</f>
        <v>22.5</v>
      </c>
      <c r="J61" s="26">
        <f t="shared" ref="J61" si="319">G61/$D61</f>
        <v>0.26470588235294118</v>
      </c>
      <c r="K61" s="30">
        <f>F61</f>
        <v>22.5</v>
      </c>
      <c r="L61" s="30">
        <f t="shared" ref="L61:L66" si="320">K61</f>
        <v>22.5</v>
      </c>
      <c r="M61" s="25">
        <f t="shared" ref="M61" si="321">L61/K61</f>
        <v>1</v>
      </c>
      <c r="N61" s="34">
        <f t="shared" ref="N61" si="322">G61+L61</f>
        <v>45</v>
      </c>
      <c r="O61" s="26">
        <f t="shared" ref="O61" si="323">N61/$D61</f>
        <v>0.52941176470588236</v>
      </c>
      <c r="P61" s="30">
        <f>F61</f>
        <v>22.5</v>
      </c>
      <c r="Q61" s="30">
        <f t="shared" ref="Q61" si="324">P61</f>
        <v>22.5</v>
      </c>
      <c r="R61" s="25">
        <f t="shared" ref="R61" si="325">Q61/P61</f>
        <v>1</v>
      </c>
      <c r="S61" s="28">
        <f t="shared" ref="S61" si="326">Q61+N61</f>
        <v>67.5</v>
      </c>
      <c r="T61" s="26">
        <f t="shared" ref="T61" si="327">S61/$D61</f>
        <v>0.79411764705882348</v>
      </c>
      <c r="U61" s="30">
        <f>F61</f>
        <v>22.5</v>
      </c>
      <c r="V61" s="30">
        <f t="shared" ref="V61" si="328">U61</f>
        <v>22.5</v>
      </c>
      <c r="W61" s="25">
        <f t="shared" ref="W61" si="329">V61/U61</f>
        <v>1</v>
      </c>
      <c r="X61" s="34">
        <f t="shared" ref="X61" si="330">S61+V61</f>
        <v>90</v>
      </c>
      <c r="Y61" s="26">
        <f t="shared" ref="Y61" si="331">X61/$D61</f>
        <v>1.0588235294117647</v>
      </c>
    </row>
    <row r="62" spans="1:25" ht="55.5" customHeight="1">
      <c r="A62" s="133"/>
      <c r="B62" s="114"/>
      <c r="C62" s="42" t="s">
        <v>55</v>
      </c>
      <c r="D62" s="122">
        <v>3</v>
      </c>
      <c r="E62" s="118" t="s">
        <v>16</v>
      </c>
      <c r="F62" s="71">
        <v>0</v>
      </c>
      <c r="G62" s="30">
        <v>0</v>
      </c>
      <c r="H62" s="25">
        <v>0</v>
      </c>
      <c r="I62" s="30">
        <f t="shared" ref="I62" si="332">G62</f>
        <v>0</v>
      </c>
      <c r="J62" s="26">
        <f t="shared" ref="J62" si="333">G62/$D62</f>
        <v>0</v>
      </c>
      <c r="K62" s="30">
        <v>1</v>
      </c>
      <c r="L62" s="30">
        <f t="shared" si="320"/>
        <v>1</v>
      </c>
      <c r="M62" s="25">
        <f t="shared" ref="M62" si="334">L62/K62</f>
        <v>1</v>
      </c>
      <c r="N62" s="34">
        <f t="shared" ref="N62" si="335">G62+L62</f>
        <v>1</v>
      </c>
      <c r="O62" s="26">
        <f t="shared" ref="O62" si="336">N62/$D62</f>
        <v>0.33333333333333331</v>
      </c>
      <c r="P62" s="30">
        <v>1</v>
      </c>
      <c r="Q62" s="30">
        <f t="shared" ref="Q62" si="337">P62</f>
        <v>1</v>
      </c>
      <c r="R62" s="25">
        <f t="shared" ref="R62" si="338">Q62/P62</f>
        <v>1</v>
      </c>
      <c r="S62" s="28">
        <f t="shared" ref="S62" si="339">Q62+N62</f>
        <v>2</v>
      </c>
      <c r="T62" s="26">
        <f t="shared" ref="T62" si="340">S62/$D62</f>
        <v>0.66666666666666663</v>
      </c>
      <c r="U62" s="30">
        <v>1</v>
      </c>
      <c r="V62" s="30">
        <f t="shared" ref="V62" si="341">U62</f>
        <v>1</v>
      </c>
      <c r="W62" s="25">
        <v>0</v>
      </c>
      <c r="X62" s="34">
        <f t="shared" ref="X62" si="342">S62+V62</f>
        <v>3</v>
      </c>
      <c r="Y62" s="26">
        <f t="shared" ref="Y62" si="343">X62/$D62</f>
        <v>1</v>
      </c>
    </row>
    <row r="63" spans="1:25" ht="24" customHeight="1">
      <c r="A63" s="132">
        <v>15</v>
      </c>
      <c r="B63" s="230" t="s">
        <v>167</v>
      </c>
      <c r="C63" s="115" t="s">
        <v>56</v>
      </c>
      <c r="D63" s="42">
        <v>100</v>
      </c>
      <c r="E63" s="118" t="s">
        <v>16</v>
      </c>
      <c r="F63" s="71">
        <f>D63/4</f>
        <v>25</v>
      </c>
      <c r="G63" s="30">
        <f t="shared" ref="G63:G64" si="344">F63</f>
        <v>25</v>
      </c>
      <c r="H63" s="25">
        <f t="shared" ref="H63" si="345">G63/F63</f>
        <v>1</v>
      </c>
      <c r="I63" s="30">
        <f t="shared" ref="I63:I64" si="346">G63</f>
        <v>25</v>
      </c>
      <c r="J63" s="26">
        <f t="shared" ref="J63" si="347">G63/$D63</f>
        <v>0.25</v>
      </c>
      <c r="K63" s="30">
        <f>F63</f>
        <v>25</v>
      </c>
      <c r="L63" s="30">
        <f t="shared" si="320"/>
        <v>25</v>
      </c>
      <c r="M63" s="25">
        <f t="shared" ref="M63:M64" si="348">L63/K63</f>
        <v>1</v>
      </c>
      <c r="N63" s="34">
        <f t="shared" ref="N63" si="349">G63+L63</f>
        <v>50</v>
      </c>
      <c r="O63" s="26">
        <f t="shared" ref="O63:O64" si="350">N63/$D63</f>
        <v>0.5</v>
      </c>
      <c r="P63" s="30">
        <f>F63</f>
        <v>25</v>
      </c>
      <c r="Q63" s="30">
        <f t="shared" ref="Q63" si="351">P63</f>
        <v>25</v>
      </c>
      <c r="R63" s="25">
        <f t="shared" ref="R63:R64" si="352">Q63/P63</f>
        <v>1</v>
      </c>
      <c r="S63" s="28">
        <f t="shared" ref="S63:S64" si="353">Q63+N63</f>
        <v>75</v>
      </c>
      <c r="T63" s="26">
        <f t="shared" ref="T63:T64" si="354">S63/$D63</f>
        <v>0.75</v>
      </c>
      <c r="U63" s="30">
        <f t="shared" ref="U63:U70" si="355">F63</f>
        <v>25</v>
      </c>
      <c r="V63" s="30">
        <f t="shared" ref="V63:V64" si="356">U63</f>
        <v>25</v>
      </c>
      <c r="W63" s="25">
        <f t="shared" ref="W63:W64" si="357">V63/U63</f>
        <v>1</v>
      </c>
      <c r="X63" s="34">
        <f t="shared" ref="X63:X64" si="358">S63+V63</f>
        <v>100</v>
      </c>
      <c r="Y63" s="26">
        <f t="shared" ref="Y63" si="359">X63/$D63</f>
        <v>1</v>
      </c>
    </row>
    <row r="64" spans="1:25" ht="48" customHeight="1">
      <c r="A64" s="133"/>
      <c r="B64" s="232"/>
      <c r="C64" s="135" t="s">
        <v>119</v>
      </c>
      <c r="D64" s="68">
        <v>1</v>
      </c>
      <c r="E64" s="125" t="s">
        <v>120</v>
      </c>
      <c r="F64" s="71">
        <f>D64/4</f>
        <v>0.25</v>
      </c>
      <c r="G64" s="30">
        <f t="shared" si="344"/>
        <v>0.25</v>
      </c>
      <c r="H64" s="25">
        <v>0</v>
      </c>
      <c r="I64" s="30">
        <f t="shared" si="346"/>
        <v>0.25</v>
      </c>
      <c r="J64" s="26">
        <v>0</v>
      </c>
      <c r="K64" s="30">
        <f>F64</f>
        <v>0.25</v>
      </c>
      <c r="L64" s="30">
        <f t="shared" si="320"/>
        <v>0.25</v>
      </c>
      <c r="M64" s="25">
        <f t="shared" si="348"/>
        <v>1</v>
      </c>
      <c r="N64" s="34">
        <v>0</v>
      </c>
      <c r="O64" s="26">
        <f t="shared" si="350"/>
        <v>0</v>
      </c>
      <c r="P64" s="30">
        <v>1</v>
      </c>
      <c r="Q64" s="30">
        <v>1</v>
      </c>
      <c r="R64" s="25">
        <f t="shared" si="352"/>
        <v>1</v>
      </c>
      <c r="S64" s="28">
        <f t="shared" si="353"/>
        <v>1</v>
      </c>
      <c r="T64" s="26">
        <f t="shared" si="354"/>
        <v>1</v>
      </c>
      <c r="U64" s="30">
        <f t="shared" si="355"/>
        <v>0.25</v>
      </c>
      <c r="V64" s="30">
        <f t="shared" si="356"/>
        <v>0.25</v>
      </c>
      <c r="W64" s="25">
        <f t="shared" si="357"/>
        <v>1</v>
      </c>
      <c r="X64" s="34">
        <f t="shared" si="358"/>
        <v>1.25</v>
      </c>
      <c r="Y64" s="26">
        <v>1</v>
      </c>
    </row>
    <row r="65" spans="1:25" ht="51" customHeight="1">
      <c r="A65" s="132">
        <v>16</v>
      </c>
      <c r="B65" s="51" t="s">
        <v>121</v>
      </c>
      <c r="C65" s="42" t="s">
        <v>122</v>
      </c>
      <c r="D65" s="137">
        <v>100</v>
      </c>
      <c r="E65" s="125" t="s">
        <v>16</v>
      </c>
      <c r="F65" s="71">
        <f>98.17/4</f>
        <v>24.5425</v>
      </c>
      <c r="G65" s="30">
        <f t="shared" ref="G65:G66" si="360">F65</f>
        <v>24.5425</v>
      </c>
      <c r="H65" s="25">
        <f t="shared" ref="H65:H66" si="361">G65/F65</f>
        <v>1</v>
      </c>
      <c r="I65" s="30">
        <f t="shared" ref="I65:I66" si="362">G65</f>
        <v>24.5425</v>
      </c>
      <c r="J65" s="26">
        <f t="shared" ref="J65:J66" si="363">G65/$D65</f>
        <v>0.245425</v>
      </c>
      <c r="K65" s="30">
        <f>F65</f>
        <v>24.5425</v>
      </c>
      <c r="L65" s="30">
        <f t="shared" si="320"/>
        <v>24.5425</v>
      </c>
      <c r="M65" s="25">
        <f t="shared" ref="M65:M66" si="364">L65/K65</f>
        <v>1</v>
      </c>
      <c r="N65" s="34">
        <f t="shared" ref="N65:N66" si="365">G65+L65</f>
        <v>49.085000000000001</v>
      </c>
      <c r="O65" s="26">
        <f t="shared" ref="O65:O66" si="366">N65/$D65</f>
        <v>0.49085000000000001</v>
      </c>
      <c r="P65" s="30">
        <f>F65</f>
        <v>24.5425</v>
      </c>
      <c r="Q65" s="30">
        <f t="shared" ref="Q65:Q66" si="367">P65</f>
        <v>24.5425</v>
      </c>
      <c r="R65" s="25">
        <f t="shared" ref="R65:R66" si="368">Q65/P65</f>
        <v>1</v>
      </c>
      <c r="S65" s="28">
        <f t="shared" ref="S65:S66" si="369">Q65+N65</f>
        <v>73.627499999999998</v>
      </c>
      <c r="T65" s="26">
        <f t="shared" ref="T65:T66" si="370">S65/$D65</f>
        <v>0.73627500000000001</v>
      </c>
      <c r="U65" s="31">
        <f t="shared" si="355"/>
        <v>24.5425</v>
      </c>
      <c r="V65" s="31">
        <f t="shared" ref="V65:V66" si="371">U65</f>
        <v>24.5425</v>
      </c>
      <c r="W65" s="25">
        <f t="shared" ref="W65:W66" si="372">V65/U65</f>
        <v>1</v>
      </c>
      <c r="X65" s="33">
        <f t="shared" ref="X65:X66" si="373">S65+V65</f>
        <v>98.17</v>
      </c>
      <c r="Y65" s="26">
        <f t="shared" ref="Y65:Y66" si="374">X65/$D65</f>
        <v>0.98170000000000002</v>
      </c>
    </row>
    <row r="66" spans="1:25" ht="35.25" customHeight="1">
      <c r="A66" s="133"/>
      <c r="B66" s="114"/>
      <c r="C66" s="42" t="s">
        <v>123</v>
      </c>
      <c r="D66" s="137">
        <v>100</v>
      </c>
      <c r="E66" s="125" t="s">
        <v>16</v>
      </c>
      <c r="F66" s="71">
        <f>D66/4</f>
        <v>25</v>
      </c>
      <c r="G66" s="30">
        <f t="shared" si="360"/>
        <v>25</v>
      </c>
      <c r="H66" s="25">
        <f t="shared" si="361"/>
        <v>1</v>
      </c>
      <c r="I66" s="30">
        <f t="shared" si="362"/>
        <v>25</v>
      </c>
      <c r="J66" s="26">
        <f t="shared" si="363"/>
        <v>0.25</v>
      </c>
      <c r="K66" s="30">
        <f>F66</f>
        <v>25</v>
      </c>
      <c r="L66" s="30">
        <f t="shared" si="320"/>
        <v>25</v>
      </c>
      <c r="M66" s="25">
        <f t="shared" si="364"/>
        <v>1</v>
      </c>
      <c r="N66" s="34">
        <f t="shared" si="365"/>
        <v>50</v>
      </c>
      <c r="O66" s="26">
        <f t="shared" si="366"/>
        <v>0.5</v>
      </c>
      <c r="P66" s="30">
        <f>F66</f>
        <v>25</v>
      </c>
      <c r="Q66" s="30">
        <f t="shared" si="367"/>
        <v>25</v>
      </c>
      <c r="R66" s="25">
        <f t="shared" si="368"/>
        <v>1</v>
      </c>
      <c r="S66" s="28">
        <f t="shared" si="369"/>
        <v>75</v>
      </c>
      <c r="T66" s="26">
        <f t="shared" si="370"/>
        <v>0.75</v>
      </c>
      <c r="U66" s="30">
        <f t="shared" si="355"/>
        <v>25</v>
      </c>
      <c r="V66" s="30">
        <f t="shared" si="371"/>
        <v>25</v>
      </c>
      <c r="W66" s="25">
        <f t="shared" si="372"/>
        <v>1</v>
      </c>
      <c r="X66" s="34">
        <f t="shared" si="373"/>
        <v>100</v>
      </c>
      <c r="Y66" s="26">
        <f t="shared" si="374"/>
        <v>1</v>
      </c>
    </row>
    <row r="67" spans="1:25" ht="48.75" customHeight="1">
      <c r="A67" s="123">
        <v>17</v>
      </c>
      <c r="B67" s="51" t="s">
        <v>126</v>
      </c>
      <c r="C67" s="42" t="s">
        <v>127</v>
      </c>
      <c r="D67" s="213">
        <v>94.5</v>
      </c>
      <c r="E67" s="125" t="s">
        <v>16</v>
      </c>
      <c r="F67" s="71">
        <f>D67/4</f>
        <v>23.625</v>
      </c>
      <c r="G67" s="30">
        <f t="shared" ref="G67:G68" si="375">F67</f>
        <v>23.625</v>
      </c>
      <c r="H67" s="25">
        <f t="shared" ref="H67:H68" si="376">G67/F67</f>
        <v>1</v>
      </c>
      <c r="I67" s="30">
        <f t="shared" ref="I67:I68" si="377">G67</f>
        <v>23.625</v>
      </c>
      <c r="J67" s="26">
        <f t="shared" ref="J67:J68" si="378">G67/$D67</f>
        <v>0.25</v>
      </c>
      <c r="K67" s="30">
        <f t="shared" ref="K67" si="379">F67</f>
        <v>23.625</v>
      </c>
      <c r="L67" s="30">
        <f t="shared" ref="L67:L68" si="380">K67</f>
        <v>23.625</v>
      </c>
      <c r="M67" s="25">
        <f t="shared" ref="M67:M68" si="381">L67/K67</f>
        <v>1</v>
      </c>
      <c r="N67" s="34">
        <f t="shared" ref="N67:N68" si="382">G67+L67</f>
        <v>47.25</v>
      </c>
      <c r="O67" s="26">
        <f t="shared" ref="O67:O68" si="383">N67/$D67</f>
        <v>0.5</v>
      </c>
      <c r="P67" s="30">
        <f t="shared" ref="P67" si="384">F67</f>
        <v>23.625</v>
      </c>
      <c r="Q67" s="30">
        <f t="shared" ref="Q67:Q68" si="385">P67</f>
        <v>23.625</v>
      </c>
      <c r="R67" s="25">
        <f t="shared" ref="R67:R68" si="386">Q67/P67</f>
        <v>1</v>
      </c>
      <c r="S67" s="28">
        <f t="shared" ref="S67:S68" si="387">Q67+N67</f>
        <v>70.875</v>
      </c>
      <c r="T67" s="26">
        <f t="shared" ref="T67:T68" si="388">S67/$D67</f>
        <v>0.75</v>
      </c>
      <c r="U67" s="31">
        <f t="shared" si="355"/>
        <v>23.625</v>
      </c>
      <c r="V67" s="31">
        <f t="shared" ref="V67:V68" si="389">U67</f>
        <v>23.625</v>
      </c>
      <c r="W67" s="25">
        <f t="shared" ref="W67:W68" si="390">V67/U67</f>
        <v>1</v>
      </c>
      <c r="X67" s="33">
        <f t="shared" ref="X67:X68" si="391">S67+V67</f>
        <v>94.5</v>
      </c>
      <c r="Y67" s="26">
        <f t="shared" ref="Y67:Y68" si="392">X67/$D67</f>
        <v>1</v>
      </c>
    </row>
    <row r="68" spans="1:25" ht="35.25" customHeight="1">
      <c r="A68" s="133"/>
      <c r="B68" s="114"/>
      <c r="C68" s="42" t="s">
        <v>128</v>
      </c>
      <c r="D68" s="137">
        <v>51</v>
      </c>
      <c r="E68" s="125" t="s">
        <v>16</v>
      </c>
      <c r="F68" s="71">
        <f>51/4</f>
        <v>12.75</v>
      </c>
      <c r="G68" s="30">
        <f t="shared" si="375"/>
        <v>12.75</v>
      </c>
      <c r="H68" s="25">
        <f t="shared" si="376"/>
        <v>1</v>
      </c>
      <c r="I68" s="30">
        <f t="shared" si="377"/>
        <v>12.75</v>
      </c>
      <c r="J68" s="26">
        <f t="shared" si="378"/>
        <v>0.25</v>
      </c>
      <c r="K68" s="30">
        <f>F68</f>
        <v>12.75</v>
      </c>
      <c r="L68" s="30">
        <f t="shared" si="380"/>
        <v>12.75</v>
      </c>
      <c r="M68" s="25">
        <f t="shared" si="381"/>
        <v>1</v>
      </c>
      <c r="N68" s="34">
        <f t="shared" si="382"/>
        <v>25.5</v>
      </c>
      <c r="O68" s="26">
        <f t="shared" si="383"/>
        <v>0.5</v>
      </c>
      <c r="P68" s="30">
        <f>F68</f>
        <v>12.75</v>
      </c>
      <c r="Q68" s="30">
        <f t="shared" si="385"/>
        <v>12.75</v>
      </c>
      <c r="R68" s="25">
        <f t="shared" si="386"/>
        <v>1</v>
      </c>
      <c r="S68" s="28">
        <f t="shared" si="387"/>
        <v>38.25</v>
      </c>
      <c r="T68" s="26">
        <f t="shared" si="388"/>
        <v>0.75</v>
      </c>
      <c r="U68" s="31">
        <f t="shared" si="355"/>
        <v>12.75</v>
      </c>
      <c r="V68" s="31">
        <f t="shared" si="389"/>
        <v>12.75</v>
      </c>
      <c r="W68" s="25">
        <f t="shared" si="390"/>
        <v>1</v>
      </c>
      <c r="X68" s="33">
        <f t="shared" si="391"/>
        <v>51</v>
      </c>
      <c r="Y68" s="26">
        <f t="shared" si="392"/>
        <v>1</v>
      </c>
    </row>
    <row r="69" spans="1:25" ht="123" customHeight="1">
      <c r="A69" s="131">
        <v>18</v>
      </c>
      <c r="B69" s="42" t="s">
        <v>124</v>
      </c>
      <c r="C69" s="63" t="s">
        <v>125</v>
      </c>
      <c r="D69" s="42">
        <v>70</v>
      </c>
      <c r="E69" s="125" t="s">
        <v>16</v>
      </c>
      <c r="F69" s="71">
        <f>76/4</f>
        <v>19</v>
      </c>
      <c r="G69" s="30">
        <f t="shared" ref="G69" si="393">F69</f>
        <v>19</v>
      </c>
      <c r="H69" s="25">
        <f t="shared" ref="H69" si="394">G69/F69</f>
        <v>1</v>
      </c>
      <c r="I69" s="30">
        <f t="shared" ref="I69" si="395">G69</f>
        <v>19</v>
      </c>
      <c r="J69" s="26">
        <f t="shared" ref="J69" si="396">G69/$D69</f>
        <v>0.27142857142857141</v>
      </c>
      <c r="K69" s="30">
        <f>F69</f>
        <v>19</v>
      </c>
      <c r="L69" s="30">
        <f>K69</f>
        <v>19</v>
      </c>
      <c r="M69" s="25">
        <f t="shared" ref="M69" si="397">L69/K69</f>
        <v>1</v>
      </c>
      <c r="N69" s="34">
        <f t="shared" ref="N69" si="398">G69+L69</f>
        <v>38</v>
      </c>
      <c r="O69" s="26">
        <f t="shared" ref="O69" si="399">N69/$D69</f>
        <v>0.54285714285714282</v>
      </c>
      <c r="P69" s="30">
        <f>F69</f>
        <v>19</v>
      </c>
      <c r="Q69" s="30">
        <f t="shared" ref="Q69" si="400">P69</f>
        <v>19</v>
      </c>
      <c r="R69" s="25">
        <f t="shared" ref="R69" si="401">Q69/P69</f>
        <v>1</v>
      </c>
      <c r="S69" s="28">
        <f t="shared" ref="S69" si="402">Q69+N69</f>
        <v>57</v>
      </c>
      <c r="T69" s="26">
        <f t="shared" ref="T69" si="403">S69/$D69</f>
        <v>0.81428571428571428</v>
      </c>
      <c r="U69" s="31">
        <f t="shared" si="355"/>
        <v>19</v>
      </c>
      <c r="V69" s="31">
        <f t="shared" ref="V69" si="404">U69</f>
        <v>19</v>
      </c>
      <c r="W69" s="25">
        <f t="shared" ref="W69" si="405">V69/U69</f>
        <v>1</v>
      </c>
      <c r="X69" s="33">
        <f t="shared" ref="X69" si="406">S69+V69</f>
        <v>76</v>
      </c>
      <c r="Y69" s="26">
        <f t="shared" ref="Y69" si="407">X69/$D69</f>
        <v>1.0857142857142856</v>
      </c>
    </row>
    <row r="70" spans="1:25" ht="60" customHeight="1">
      <c r="A70" s="131">
        <v>19</v>
      </c>
      <c r="B70" s="42" t="s">
        <v>129</v>
      </c>
      <c r="C70" s="42" t="s">
        <v>130</v>
      </c>
      <c r="D70" s="42">
        <v>100</v>
      </c>
      <c r="E70" s="125" t="s">
        <v>16</v>
      </c>
      <c r="F70" s="71">
        <f>41/4</f>
        <v>10.25</v>
      </c>
      <c r="G70" s="30">
        <f t="shared" ref="G70" si="408">F70</f>
        <v>10.25</v>
      </c>
      <c r="H70" s="25">
        <f t="shared" ref="H70" si="409">G70/F70</f>
        <v>1</v>
      </c>
      <c r="I70" s="30">
        <f t="shared" ref="I70" si="410">G70</f>
        <v>10.25</v>
      </c>
      <c r="J70" s="26">
        <f t="shared" ref="J70" si="411">G70/$D70</f>
        <v>0.10249999999999999</v>
      </c>
      <c r="K70" s="30">
        <f>F70</f>
        <v>10.25</v>
      </c>
      <c r="L70" s="30">
        <f>K70</f>
        <v>10.25</v>
      </c>
      <c r="M70" s="25">
        <f t="shared" ref="M70" si="412">L70/K70</f>
        <v>1</v>
      </c>
      <c r="N70" s="34">
        <f t="shared" ref="N70" si="413">G70+L70</f>
        <v>20.5</v>
      </c>
      <c r="O70" s="26">
        <f t="shared" ref="O70" si="414">N70/$D70</f>
        <v>0.20499999999999999</v>
      </c>
      <c r="P70" s="30">
        <f>F70</f>
        <v>10.25</v>
      </c>
      <c r="Q70" s="30">
        <f t="shared" ref="Q70" si="415">P70</f>
        <v>10.25</v>
      </c>
      <c r="R70" s="25">
        <f t="shared" ref="R70" si="416">Q70/P70</f>
        <v>1</v>
      </c>
      <c r="S70" s="28">
        <f t="shared" ref="S70" si="417">Q70+N70</f>
        <v>30.75</v>
      </c>
      <c r="T70" s="26">
        <f t="shared" ref="T70" si="418">S70/$D70</f>
        <v>0.3075</v>
      </c>
      <c r="U70" s="30">
        <f t="shared" si="355"/>
        <v>10.25</v>
      </c>
      <c r="V70" s="30">
        <f t="shared" ref="V70" si="419">U70</f>
        <v>10.25</v>
      </c>
      <c r="W70" s="25">
        <f t="shared" ref="W70" si="420">V70/U70</f>
        <v>1</v>
      </c>
      <c r="X70" s="34">
        <f t="shared" ref="X70" si="421">S70+V70</f>
        <v>41</v>
      </c>
      <c r="Y70" s="26">
        <f t="shared" ref="Y70" si="422">X70/$D70</f>
        <v>0.41</v>
      </c>
    </row>
    <row r="71" spans="1:25" ht="46.5" customHeight="1">
      <c r="A71" s="132">
        <v>20</v>
      </c>
      <c r="B71" s="51" t="s">
        <v>131</v>
      </c>
      <c r="C71" s="63" t="s">
        <v>58</v>
      </c>
      <c r="D71" s="42">
        <v>90.93</v>
      </c>
      <c r="E71" s="125" t="s">
        <v>16</v>
      </c>
      <c r="F71" s="71">
        <f>90.93/4</f>
        <v>22.732500000000002</v>
      </c>
      <c r="G71" s="30">
        <f t="shared" ref="G71" si="423">F71</f>
        <v>22.732500000000002</v>
      </c>
      <c r="H71" s="25">
        <f t="shared" ref="H71" si="424">G71/F71</f>
        <v>1</v>
      </c>
      <c r="I71" s="30">
        <f t="shared" ref="I71" si="425">G71</f>
        <v>22.732500000000002</v>
      </c>
      <c r="J71" s="26">
        <f t="shared" ref="J71" si="426">G71/$D71</f>
        <v>0.25</v>
      </c>
      <c r="K71" s="30">
        <f t="shared" ref="K71" si="427">F71</f>
        <v>22.732500000000002</v>
      </c>
      <c r="L71" s="30">
        <f t="shared" ref="L71:L89" si="428">K71</f>
        <v>22.732500000000002</v>
      </c>
      <c r="M71" s="25">
        <f t="shared" ref="M71" si="429">L71/K71</f>
        <v>1</v>
      </c>
      <c r="N71" s="34">
        <f t="shared" ref="N71:N76" si="430">G71+L71</f>
        <v>45.465000000000003</v>
      </c>
      <c r="O71" s="26">
        <f t="shared" ref="O71" si="431">N71/$D71</f>
        <v>0.5</v>
      </c>
      <c r="P71" s="30">
        <f t="shared" ref="P71" si="432">F71</f>
        <v>22.732500000000002</v>
      </c>
      <c r="Q71" s="30">
        <f t="shared" ref="Q71" si="433">P71</f>
        <v>22.732500000000002</v>
      </c>
      <c r="R71" s="25">
        <f t="shared" ref="R71" si="434">Q71/P71</f>
        <v>1</v>
      </c>
      <c r="S71" s="28">
        <f t="shared" ref="S71" si="435">Q71+N71</f>
        <v>68.197500000000005</v>
      </c>
      <c r="T71" s="26">
        <f t="shared" ref="T71" si="436">S71/$D71</f>
        <v>0.75</v>
      </c>
      <c r="U71" s="30">
        <f t="shared" ref="U71" si="437">F71</f>
        <v>22.732500000000002</v>
      </c>
      <c r="V71" s="30">
        <f t="shared" ref="V71" si="438">U71</f>
        <v>22.732500000000002</v>
      </c>
      <c r="W71" s="25">
        <f t="shared" ref="W71" si="439">V71/U71</f>
        <v>1</v>
      </c>
      <c r="X71" s="33">
        <f t="shared" ref="X71" si="440">S71+V71</f>
        <v>90.93</v>
      </c>
      <c r="Y71" s="26">
        <f t="shared" ref="Y71" si="441">X71/$D71</f>
        <v>1</v>
      </c>
    </row>
    <row r="72" spans="1:25" ht="33.75" customHeight="1">
      <c r="A72" s="123"/>
      <c r="B72" s="38"/>
      <c r="C72" s="42" t="s">
        <v>132</v>
      </c>
      <c r="D72" s="42">
        <v>98.19</v>
      </c>
      <c r="E72" s="125" t="s">
        <v>16</v>
      </c>
      <c r="F72" s="71">
        <f>D72/4</f>
        <v>24.547499999999999</v>
      </c>
      <c r="G72" s="30">
        <f t="shared" ref="G72:G75" si="442">F72</f>
        <v>24.547499999999999</v>
      </c>
      <c r="H72" s="25">
        <f t="shared" ref="H72:H75" si="443">G72/F72</f>
        <v>1</v>
      </c>
      <c r="I72" s="30">
        <f t="shared" ref="I72:I75" si="444">G72</f>
        <v>24.547499999999999</v>
      </c>
      <c r="J72" s="26">
        <f t="shared" ref="J72:J75" si="445">G72/$D72</f>
        <v>0.25</v>
      </c>
      <c r="K72" s="30">
        <f t="shared" ref="K72:K75" si="446">F72</f>
        <v>24.547499999999999</v>
      </c>
      <c r="L72" s="30">
        <f t="shared" ref="L72:L75" si="447">K72</f>
        <v>24.547499999999999</v>
      </c>
      <c r="M72" s="25">
        <f t="shared" ref="M72:M75" si="448">L72/K72</f>
        <v>1</v>
      </c>
      <c r="N72" s="34">
        <f t="shared" ref="N72:N75" si="449">G72+L72</f>
        <v>49.094999999999999</v>
      </c>
      <c r="O72" s="26">
        <f t="shared" ref="O72:O75" si="450">N72/$D72</f>
        <v>0.5</v>
      </c>
      <c r="P72" s="30">
        <f t="shared" ref="P72:P75" si="451">F72</f>
        <v>24.547499999999999</v>
      </c>
      <c r="Q72" s="30">
        <f t="shared" ref="Q72:Q75" si="452">P72</f>
        <v>24.547499999999999</v>
      </c>
      <c r="R72" s="25">
        <f t="shared" ref="R72:R75" si="453">Q72/P72</f>
        <v>1</v>
      </c>
      <c r="S72" s="28">
        <f t="shared" ref="S72:S75" si="454">Q72+N72</f>
        <v>73.642499999999998</v>
      </c>
      <c r="T72" s="26">
        <f t="shared" ref="T72:T75" si="455">S72/$D72</f>
        <v>0.75</v>
      </c>
      <c r="U72" s="30">
        <f t="shared" ref="U72:U75" si="456">F72</f>
        <v>24.547499999999999</v>
      </c>
      <c r="V72" s="30">
        <f t="shared" ref="V72:V75" si="457">U72</f>
        <v>24.547499999999999</v>
      </c>
      <c r="W72" s="25">
        <f t="shared" ref="W72:W75" si="458">V72/U72</f>
        <v>1</v>
      </c>
      <c r="X72" s="33">
        <f t="shared" ref="X72:X75" si="459">S72+V72</f>
        <v>98.19</v>
      </c>
      <c r="Y72" s="26">
        <f t="shared" ref="Y72:Y75" si="460">X72/$D72</f>
        <v>1</v>
      </c>
    </row>
    <row r="73" spans="1:25" ht="47.25" customHeight="1">
      <c r="A73" s="123"/>
      <c r="B73" s="38"/>
      <c r="C73" s="63" t="s">
        <v>59</v>
      </c>
      <c r="D73" s="42">
        <v>31.48</v>
      </c>
      <c r="E73" s="125" t="s">
        <v>16</v>
      </c>
      <c r="F73" s="71">
        <f>D73/4</f>
        <v>7.87</v>
      </c>
      <c r="G73" s="30">
        <f t="shared" si="442"/>
        <v>7.87</v>
      </c>
      <c r="H73" s="25">
        <f t="shared" si="443"/>
        <v>1</v>
      </c>
      <c r="I73" s="30">
        <f t="shared" si="444"/>
        <v>7.87</v>
      </c>
      <c r="J73" s="26">
        <f t="shared" si="445"/>
        <v>0.25</v>
      </c>
      <c r="K73" s="30">
        <f t="shared" si="446"/>
        <v>7.87</v>
      </c>
      <c r="L73" s="30">
        <f t="shared" si="447"/>
        <v>7.87</v>
      </c>
      <c r="M73" s="25">
        <f t="shared" si="448"/>
        <v>1</v>
      </c>
      <c r="N73" s="34">
        <f t="shared" si="449"/>
        <v>15.74</v>
      </c>
      <c r="O73" s="26">
        <f t="shared" si="450"/>
        <v>0.5</v>
      </c>
      <c r="P73" s="30">
        <f t="shared" si="451"/>
        <v>7.87</v>
      </c>
      <c r="Q73" s="30">
        <f t="shared" si="452"/>
        <v>7.87</v>
      </c>
      <c r="R73" s="25">
        <f t="shared" si="453"/>
        <v>1</v>
      </c>
      <c r="S73" s="28">
        <f t="shared" si="454"/>
        <v>23.61</v>
      </c>
      <c r="T73" s="26">
        <f t="shared" si="455"/>
        <v>0.75</v>
      </c>
      <c r="U73" s="30">
        <f t="shared" si="456"/>
        <v>7.87</v>
      </c>
      <c r="V73" s="30">
        <f t="shared" si="457"/>
        <v>7.87</v>
      </c>
      <c r="W73" s="25">
        <f t="shared" si="458"/>
        <v>1</v>
      </c>
      <c r="X73" s="33">
        <f t="shared" si="459"/>
        <v>31.48</v>
      </c>
      <c r="Y73" s="26">
        <f t="shared" si="460"/>
        <v>1</v>
      </c>
    </row>
    <row r="74" spans="1:25" ht="32.25" customHeight="1">
      <c r="A74" s="123"/>
      <c r="B74" s="38"/>
      <c r="C74" s="98" t="s">
        <v>133</v>
      </c>
      <c r="D74" s="138">
        <v>16.5</v>
      </c>
      <c r="E74" s="125" t="s">
        <v>16</v>
      </c>
      <c r="F74" s="127">
        <f>D74/4</f>
        <v>4.125</v>
      </c>
      <c r="G74" s="31">
        <f t="shared" si="442"/>
        <v>4.125</v>
      </c>
      <c r="H74" s="25">
        <f t="shared" si="443"/>
        <v>1</v>
      </c>
      <c r="I74" s="31">
        <f t="shared" si="444"/>
        <v>4.125</v>
      </c>
      <c r="J74" s="26">
        <f t="shared" si="445"/>
        <v>0.25</v>
      </c>
      <c r="K74" s="31">
        <f t="shared" si="446"/>
        <v>4.125</v>
      </c>
      <c r="L74" s="31">
        <f t="shared" si="447"/>
        <v>4.125</v>
      </c>
      <c r="M74" s="25">
        <f t="shared" si="448"/>
        <v>1</v>
      </c>
      <c r="N74" s="33">
        <f t="shared" si="449"/>
        <v>8.25</v>
      </c>
      <c r="O74" s="26">
        <f t="shared" si="450"/>
        <v>0.5</v>
      </c>
      <c r="P74" s="31">
        <f t="shared" si="451"/>
        <v>4.125</v>
      </c>
      <c r="Q74" s="31">
        <f t="shared" si="452"/>
        <v>4.125</v>
      </c>
      <c r="R74" s="25">
        <f t="shared" si="453"/>
        <v>1</v>
      </c>
      <c r="S74" s="32">
        <f t="shared" si="454"/>
        <v>12.375</v>
      </c>
      <c r="T74" s="26">
        <f t="shared" si="455"/>
        <v>0.75</v>
      </c>
      <c r="U74" s="31">
        <f t="shared" si="456"/>
        <v>4.125</v>
      </c>
      <c r="V74" s="31">
        <f t="shared" si="457"/>
        <v>4.125</v>
      </c>
      <c r="W74" s="25">
        <f t="shared" si="458"/>
        <v>1</v>
      </c>
      <c r="X74" s="33">
        <f t="shared" si="459"/>
        <v>16.5</v>
      </c>
      <c r="Y74" s="26">
        <f t="shared" si="460"/>
        <v>1</v>
      </c>
    </row>
    <row r="75" spans="1:25" ht="50.25" customHeight="1">
      <c r="A75" s="133"/>
      <c r="B75" s="114"/>
      <c r="C75" s="63" t="s">
        <v>134</v>
      </c>
      <c r="D75" s="42">
        <v>35</v>
      </c>
      <c r="E75" s="125" t="s">
        <v>16</v>
      </c>
      <c r="F75" s="71">
        <f>D75/4</f>
        <v>8.75</v>
      </c>
      <c r="G75" s="30">
        <f t="shared" si="442"/>
        <v>8.75</v>
      </c>
      <c r="H75" s="25">
        <f t="shared" si="443"/>
        <v>1</v>
      </c>
      <c r="I75" s="30">
        <f t="shared" si="444"/>
        <v>8.75</v>
      </c>
      <c r="J75" s="26">
        <f t="shared" si="445"/>
        <v>0.25</v>
      </c>
      <c r="K75" s="30">
        <f t="shared" si="446"/>
        <v>8.75</v>
      </c>
      <c r="L75" s="30">
        <f t="shared" si="447"/>
        <v>8.75</v>
      </c>
      <c r="M75" s="25">
        <f t="shared" si="448"/>
        <v>1</v>
      </c>
      <c r="N75" s="34">
        <f t="shared" si="449"/>
        <v>17.5</v>
      </c>
      <c r="O75" s="26">
        <f t="shared" si="450"/>
        <v>0.5</v>
      </c>
      <c r="P75" s="30">
        <f t="shared" si="451"/>
        <v>8.75</v>
      </c>
      <c r="Q75" s="30">
        <f t="shared" si="452"/>
        <v>8.75</v>
      </c>
      <c r="R75" s="25">
        <f t="shared" si="453"/>
        <v>1</v>
      </c>
      <c r="S75" s="28">
        <f t="shared" si="454"/>
        <v>26.25</v>
      </c>
      <c r="T75" s="26">
        <f t="shared" si="455"/>
        <v>0.75</v>
      </c>
      <c r="U75" s="30">
        <f t="shared" si="456"/>
        <v>8.75</v>
      </c>
      <c r="V75" s="30">
        <f t="shared" si="457"/>
        <v>8.75</v>
      </c>
      <c r="W75" s="25">
        <f t="shared" si="458"/>
        <v>1</v>
      </c>
      <c r="X75" s="33">
        <f t="shared" si="459"/>
        <v>35</v>
      </c>
      <c r="Y75" s="26">
        <f t="shared" si="460"/>
        <v>1</v>
      </c>
    </row>
    <row r="76" spans="1:25" ht="46.5" customHeight="1">
      <c r="A76" s="132">
        <v>21</v>
      </c>
      <c r="B76" s="51" t="s">
        <v>60</v>
      </c>
      <c r="C76" s="139" t="s">
        <v>135</v>
      </c>
      <c r="D76" s="141">
        <v>2</v>
      </c>
      <c r="E76" s="121" t="s">
        <v>141</v>
      </c>
      <c r="F76" s="71">
        <v>0</v>
      </c>
      <c r="G76" s="30">
        <f t="shared" ref="G76:G84" si="461">F76</f>
        <v>0</v>
      </c>
      <c r="H76" s="25">
        <v>0</v>
      </c>
      <c r="I76" s="30">
        <f t="shared" ref="I76:I84" si="462">G76</f>
        <v>0</v>
      </c>
      <c r="J76" s="26">
        <f t="shared" ref="J76:J84" si="463">G76/$D76</f>
        <v>0</v>
      </c>
      <c r="K76" s="30">
        <f>F76</f>
        <v>0</v>
      </c>
      <c r="L76" s="30">
        <f t="shared" si="428"/>
        <v>0</v>
      </c>
      <c r="M76" s="25">
        <v>0</v>
      </c>
      <c r="N76" s="34">
        <f t="shared" si="430"/>
        <v>0</v>
      </c>
      <c r="O76" s="26">
        <f t="shared" ref="O76:O84" si="464">N76/$D76</f>
        <v>0</v>
      </c>
      <c r="P76" s="30">
        <v>1</v>
      </c>
      <c r="Q76" s="30">
        <f t="shared" ref="Q76:Q84" si="465">P76</f>
        <v>1</v>
      </c>
      <c r="R76" s="25">
        <f t="shared" ref="R76:R84" si="466">Q76/P76</f>
        <v>1</v>
      </c>
      <c r="S76" s="28">
        <f t="shared" ref="S76:S84" si="467">Q76+N76</f>
        <v>1</v>
      </c>
      <c r="T76" s="26">
        <f t="shared" ref="T76:T84" si="468">S76/$D76</f>
        <v>0.5</v>
      </c>
      <c r="U76" s="30">
        <v>1</v>
      </c>
      <c r="V76" s="30">
        <f t="shared" ref="V76:V84" si="469">U76</f>
        <v>1</v>
      </c>
      <c r="W76" s="25">
        <f t="shared" ref="W76:W84" si="470">V76/U76</f>
        <v>1</v>
      </c>
      <c r="X76" s="33">
        <f t="shared" ref="X76:X84" si="471">S76+V76</f>
        <v>2</v>
      </c>
      <c r="Y76" s="26">
        <f t="shared" ref="Y76:Y84" si="472">X76/$D76</f>
        <v>1</v>
      </c>
    </row>
    <row r="77" spans="1:25" ht="33" customHeight="1">
      <c r="A77" s="123"/>
      <c r="B77" s="38"/>
      <c r="C77" s="139" t="s">
        <v>136</v>
      </c>
      <c r="D77" s="141">
        <v>88.4</v>
      </c>
      <c r="E77" s="121" t="s">
        <v>16</v>
      </c>
      <c r="F77" s="71">
        <f t="shared" ref="F77:F84" si="473">D77/4</f>
        <v>22.1</v>
      </c>
      <c r="G77" s="30">
        <f t="shared" si="461"/>
        <v>22.1</v>
      </c>
      <c r="H77" s="25">
        <f t="shared" ref="H77:H84" si="474">G77/F77</f>
        <v>1</v>
      </c>
      <c r="I77" s="30">
        <f t="shared" si="462"/>
        <v>22.1</v>
      </c>
      <c r="J77" s="26">
        <f t="shared" si="463"/>
        <v>0.25</v>
      </c>
      <c r="K77" s="30">
        <f t="shared" ref="K77:K84" si="475">F77</f>
        <v>22.1</v>
      </c>
      <c r="L77" s="30">
        <f t="shared" si="428"/>
        <v>22.1</v>
      </c>
      <c r="M77" s="25">
        <f t="shared" ref="M77:M84" si="476">L77/K77</f>
        <v>1</v>
      </c>
      <c r="N77" s="34">
        <f t="shared" ref="N77:N84" si="477">G77+L77</f>
        <v>44.2</v>
      </c>
      <c r="O77" s="26">
        <f t="shared" si="464"/>
        <v>0.5</v>
      </c>
      <c r="P77" s="30">
        <f t="shared" ref="P77:P84" si="478">F77</f>
        <v>22.1</v>
      </c>
      <c r="Q77" s="30">
        <f t="shared" si="465"/>
        <v>22.1</v>
      </c>
      <c r="R77" s="25">
        <f t="shared" si="466"/>
        <v>1</v>
      </c>
      <c r="S77" s="28">
        <f t="shared" si="467"/>
        <v>66.300000000000011</v>
      </c>
      <c r="T77" s="26">
        <f t="shared" si="468"/>
        <v>0.75000000000000011</v>
      </c>
      <c r="U77" s="30">
        <f t="shared" ref="U77:U84" si="479">F77</f>
        <v>22.1</v>
      </c>
      <c r="V77" s="30">
        <f t="shared" si="469"/>
        <v>22.1</v>
      </c>
      <c r="W77" s="25">
        <f t="shared" si="470"/>
        <v>1</v>
      </c>
      <c r="X77" s="33">
        <f t="shared" si="471"/>
        <v>88.4</v>
      </c>
      <c r="Y77" s="26">
        <f t="shared" si="472"/>
        <v>1</v>
      </c>
    </row>
    <row r="78" spans="1:25" ht="34.5" customHeight="1">
      <c r="A78" s="123"/>
      <c r="B78" s="38"/>
      <c r="C78" s="139" t="s">
        <v>137</v>
      </c>
      <c r="D78" s="141">
        <v>36.630000000000003</v>
      </c>
      <c r="E78" s="121" t="s">
        <v>16</v>
      </c>
      <c r="F78" s="71">
        <f t="shared" si="473"/>
        <v>9.1575000000000006</v>
      </c>
      <c r="G78" s="30">
        <f t="shared" si="461"/>
        <v>9.1575000000000006</v>
      </c>
      <c r="H78" s="25">
        <f t="shared" si="474"/>
        <v>1</v>
      </c>
      <c r="I78" s="30">
        <f t="shared" si="462"/>
        <v>9.1575000000000006</v>
      </c>
      <c r="J78" s="26">
        <f t="shared" si="463"/>
        <v>0.25</v>
      </c>
      <c r="K78" s="30">
        <f t="shared" si="475"/>
        <v>9.1575000000000006</v>
      </c>
      <c r="L78" s="30">
        <f t="shared" si="428"/>
        <v>9.1575000000000006</v>
      </c>
      <c r="M78" s="25">
        <f t="shared" si="476"/>
        <v>1</v>
      </c>
      <c r="N78" s="34">
        <f t="shared" si="477"/>
        <v>18.315000000000001</v>
      </c>
      <c r="O78" s="26">
        <f t="shared" si="464"/>
        <v>0.5</v>
      </c>
      <c r="P78" s="30">
        <f t="shared" si="478"/>
        <v>9.1575000000000006</v>
      </c>
      <c r="Q78" s="30">
        <f t="shared" si="465"/>
        <v>9.1575000000000006</v>
      </c>
      <c r="R78" s="25">
        <f t="shared" si="466"/>
        <v>1</v>
      </c>
      <c r="S78" s="28">
        <f t="shared" si="467"/>
        <v>27.472500000000004</v>
      </c>
      <c r="T78" s="26">
        <f t="shared" si="468"/>
        <v>0.75</v>
      </c>
      <c r="U78" s="30">
        <f t="shared" si="479"/>
        <v>9.1575000000000006</v>
      </c>
      <c r="V78" s="30">
        <f t="shared" si="469"/>
        <v>9.1575000000000006</v>
      </c>
      <c r="W78" s="25">
        <f t="shared" si="470"/>
        <v>1</v>
      </c>
      <c r="X78" s="33">
        <f t="shared" si="471"/>
        <v>36.630000000000003</v>
      </c>
      <c r="Y78" s="26">
        <f t="shared" si="472"/>
        <v>1</v>
      </c>
    </row>
    <row r="79" spans="1:25" ht="36" customHeight="1">
      <c r="A79" s="123"/>
      <c r="B79" s="38"/>
      <c r="C79" s="139" t="s">
        <v>138</v>
      </c>
      <c r="D79" s="141">
        <v>82.9</v>
      </c>
      <c r="E79" s="121" t="s">
        <v>16</v>
      </c>
      <c r="F79" s="71">
        <f t="shared" si="473"/>
        <v>20.725000000000001</v>
      </c>
      <c r="G79" s="30">
        <f t="shared" si="461"/>
        <v>20.725000000000001</v>
      </c>
      <c r="H79" s="25">
        <f t="shared" si="474"/>
        <v>1</v>
      </c>
      <c r="I79" s="30">
        <f t="shared" si="462"/>
        <v>20.725000000000001</v>
      </c>
      <c r="J79" s="26">
        <f t="shared" si="463"/>
        <v>0.25</v>
      </c>
      <c r="K79" s="30">
        <f t="shared" si="475"/>
        <v>20.725000000000001</v>
      </c>
      <c r="L79" s="30">
        <f t="shared" si="428"/>
        <v>20.725000000000001</v>
      </c>
      <c r="M79" s="25">
        <f t="shared" si="476"/>
        <v>1</v>
      </c>
      <c r="N79" s="34">
        <f t="shared" si="477"/>
        <v>41.45</v>
      </c>
      <c r="O79" s="26">
        <f t="shared" si="464"/>
        <v>0.5</v>
      </c>
      <c r="P79" s="30">
        <f t="shared" si="478"/>
        <v>20.725000000000001</v>
      </c>
      <c r="Q79" s="30">
        <f t="shared" si="465"/>
        <v>20.725000000000001</v>
      </c>
      <c r="R79" s="25">
        <f t="shared" si="466"/>
        <v>1</v>
      </c>
      <c r="S79" s="28">
        <f t="shared" si="467"/>
        <v>62.175000000000004</v>
      </c>
      <c r="T79" s="26">
        <f t="shared" si="468"/>
        <v>0.75</v>
      </c>
      <c r="U79" s="30">
        <f t="shared" si="479"/>
        <v>20.725000000000001</v>
      </c>
      <c r="V79" s="30">
        <f t="shared" si="469"/>
        <v>20.725000000000001</v>
      </c>
      <c r="W79" s="25">
        <f t="shared" si="470"/>
        <v>1</v>
      </c>
      <c r="X79" s="33">
        <f t="shared" si="471"/>
        <v>82.9</v>
      </c>
      <c r="Y79" s="26">
        <f t="shared" si="472"/>
        <v>1</v>
      </c>
    </row>
    <row r="80" spans="1:25" ht="31.5" customHeight="1">
      <c r="A80" s="123"/>
      <c r="B80" s="38"/>
      <c r="C80" s="139" t="s">
        <v>139</v>
      </c>
      <c r="D80" s="141">
        <v>1.96</v>
      </c>
      <c r="E80" s="121" t="s">
        <v>38</v>
      </c>
      <c r="F80" s="71">
        <f t="shared" si="473"/>
        <v>0.49</v>
      </c>
      <c r="G80" s="30">
        <f t="shared" si="461"/>
        <v>0.49</v>
      </c>
      <c r="H80" s="25">
        <f t="shared" si="474"/>
        <v>1</v>
      </c>
      <c r="I80" s="30">
        <f t="shared" si="462"/>
        <v>0.49</v>
      </c>
      <c r="J80" s="26">
        <f t="shared" si="463"/>
        <v>0.25</v>
      </c>
      <c r="K80" s="30">
        <f t="shared" si="475"/>
        <v>0.49</v>
      </c>
      <c r="L80" s="30">
        <f t="shared" si="428"/>
        <v>0.49</v>
      </c>
      <c r="M80" s="25">
        <f t="shared" si="476"/>
        <v>1</v>
      </c>
      <c r="N80" s="34">
        <f t="shared" si="477"/>
        <v>0.98</v>
      </c>
      <c r="O80" s="26">
        <f t="shared" si="464"/>
        <v>0.5</v>
      </c>
      <c r="P80" s="30">
        <f t="shared" si="478"/>
        <v>0.49</v>
      </c>
      <c r="Q80" s="30">
        <f t="shared" si="465"/>
        <v>0.49</v>
      </c>
      <c r="R80" s="25">
        <f t="shared" si="466"/>
        <v>1</v>
      </c>
      <c r="S80" s="28">
        <f t="shared" si="467"/>
        <v>1.47</v>
      </c>
      <c r="T80" s="26">
        <f t="shared" si="468"/>
        <v>0.75</v>
      </c>
      <c r="U80" s="30">
        <f t="shared" si="479"/>
        <v>0.49</v>
      </c>
      <c r="V80" s="30">
        <f t="shared" si="469"/>
        <v>0.49</v>
      </c>
      <c r="W80" s="25">
        <f t="shared" si="470"/>
        <v>1</v>
      </c>
      <c r="X80" s="33">
        <f t="shared" si="471"/>
        <v>1.96</v>
      </c>
      <c r="Y80" s="26">
        <f t="shared" si="472"/>
        <v>1</v>
      </c>
    </row>
    <row r="81" spans="1:25" ht="30" customHeight="1">
      <c r="A81" s="123"/>
      <c r="B81" s="38"/>
      <c r="C81" s="134" t="s">
        <v>140</v>
      </c>
      <c r="D81" s="141">
        <v>8</v>
      </c>
      <c r="E81" s="140" t="s">
        <v>142</v>
      </c>
      <c r="F81" s="71">
        <f t="shared" si="473"/>
        <v>2</v>
      </c>
      <c r="G81" s="30">
        <f t="shared" si="461"/>
        <v>2</v>
      </c>
      <c r="H81" s="25">
        <f t="shared" si="474"/>
        <v>1</v>
      </c>
      <c r="I81" s="30">
        <f t="shared" si="462"/>
        <v>2</v>
      </c>
      <c r="J81" s="26">
        <f t="shared" si="463"/>
        <v>0.25</v>
      </c>
      <c r="K81" s="30">
        <f t="shared" si="475"/>
        <v>2</v>
      </c>
      <c r="L81" s="30">
        <f t="shared" si="428"/>
        <v>2</v>
      </c>
      <c r="M81" s="25">
        <f t="shared" si="476"/>
        <v>1</v>
      </c>
      <c r="N81" s="34">
        <f t="shared" si="477"/>
        <v>4</v>
      </c>
      <c r="O81" s="26">
        <f t="shared" si="464"/>
        <v>0.5</v>
      </c>
      <c r="P81" s="30">
        <f t="shared" si="478"/>
        <v>2</v>
      </c>
      <c r="Q81" s="30">
        <f t="shared" si="465"/>
        <v>2</v>
      </c>
      <c r="R81" s="25">
        <f t="shared" si="466"/>
        <v>1</v>
      </c>
      <c r="S81" s="28">
        <f t="shared" si="467"/>
        <v>6</v>
      </c>
      <c r="T81" s="26">
        <f t="shared" si="468"/>
        <v>0.75</v>
      </c>
      <c r="U81" s="30">
        <f t="shared" si="479"/>
        <v>2</v>
      </c>
      <c r="V81" s="30">
        <f t="shared" si="469"/>
        <v>2</v>
      </c>
      <c r="W81" s="25">
        <f t="shared" si="470"/>
        <v>1</v>
      </c>
      <c r="X81" s="33">
        <f t="shared" si="471"/>
        <v>8</v>
      </c>
      <c r="Y81" s="26">
        <f t="shared" si="472"/>
        <v>1</v>
      </c>
    </row>
    <row r="82" spans="1:25" ht="47.25" customHeight="1">
      <c r="A82" s="123"/>
      <c r="B82" s="38"/>
      <c r="C82" s="139" t="s">
        <v>143</v>
      </c>
      <c r="D82" s="142">
        <v>8</v>
      </c>
      <c r="E82" s="121" t="s">
        <v>146</v>
      </c>
      <c r="F82" s="71">
        <f t="shared" si="473"/>
        <v>2</v>
      </c>
      <c r="G82" s="30">
        <f t="shared" si="461"/>
        <v>2</v>
      </c>
      <c r="H82" s="25">
        <f t="shared" si="474"/>
        <v>1</v>
      </c>
      <c r="I82" s="30">
        <f t="shared" si="462"/>
        <v>2</v>
      </c>
      <c r="J82" s="26">
        <f t="shared" si="463"/>
        <v>0.25</v>
      </c>
      <c r="K82" s="30">
        <f t="shared" si="475"/>
        <v>2</v>
      </c>
      <c r="L82" s="30">
        <f t="shared" si="428"/>
        <v>2</v>
      </c>
      <c r="M82" s="25">
        <f t="shared" si="476"/>
        <v>1</v>
      </c>
      <c r="N82" s="34">
        <f t="shared" si="477"/>
        <v>4</v>
      </c>
      <c r="O82" s="26">
        <f t="shared" si="464"/>
        <v>0.5</v>
      </c>
      <c r="P82" s="30">
        <f t="shared" si="478"/>
        <v>2</v>
      </c>
      <c r="Q82" s="30">
        <f t="shared" si="465"/>
        <v>2</v>
      </c>
      <c r="R82" s="25">
        <f t="shared" si="466"/>
        <v>1</v>
      </c>
      <c r="S82" s="28">
        <f t="shared" si="467"/>
        <v>6</v>
      </c>
      <c r="T82" s="26">
        <f t="shared" si="468"/>
        <v>0.75</v>
      </c>
      <c r="U82" s="30">
        <f t="shared" si="479"/>
        <v>2</v>
      </c>
      <c r="V82" s="30">
        <f t="shared" si="469"/>
        <v>2</v>
      </c>
      <c r="W82" s="25">
        <f t="shared" si="470"/>
        <v>1</v>
      </c>
      <c r="X82" s="33">
        <f t="shared" si="471"/>
        <v>8</v>
      </c>
      <c r="Y82" s="26">
        <f t="shared" si="472"/>
        <v>1</v>
      </c>
    </row>
    <row r="83" spans="1:25" ht="48" customHeight="1">
      <c r="A83" s="123"/>
      <c r="B83" s="38"/>
      <c r="C83" s="139" t="s">
        <v>144</v>
      </c>
      <c r="D83" s="141">
        <v>1</v>
      </c>
      <c r="E83" s="121" t="s">
        <v>39</v>
      </c>
      <c r="F83" s="71">
        <f t="shared" si="473"/>
        <v>0.25</v>
      </c>
      <c r="G83" s="30">
        <f t="shared" si="461"/>
        <v>0.25</v>
      </c>
      <c r="H83" s="25">
        <v>0</v>
      </c>
      <c r="I83" s="30">
        <f t="shared" si="462"/>
        <v>0.25</v>
      </c>
      <c r="J83" s="26">
        <v>0</v>
      </c>
      <c r="K83" s="30">
        <f t="shared" si="475"/>
        <v>0.25</v>
      </c>
      <c r="L83" s="30">
        <f t="shared" si="428"/>
        <v>0.25</v>
      </c>
      <c r="M83" s="25">
        <f t="shared" si="476"/>
        <v>1</v>
      </c>
      <c r="N83" s="34">
        <f t="shared" si="477"/>
        <v>0.5</v>
      </c>
      <c r="O83" s="26">
        <f t="shared" si="464"/>
        <v>0.5</v>
      </c>
      <c r="P83" s="30">
        <f t="shared" si="478"/>
        <v>0.25</v>
      </c>
      <c r="Q83" s="30">
        <f t="shared" si="465"/>
        <v>0.25</v>
      </c>
      <c r="R83" s="25">
        <f t="shared" si="466"/>
        <v>1</v>
      </c>
      <c r="S83" s="28">
        <f t="shared" si="467"/>
        <v>0.75</v>
      </c>
      <c r="T83" s="26">
        <f t="shared" si="468"/>
        <v>0.75</v>
      </c>
      <c r="U83" s="30">
        <f t="shared" si="479"/>
        <v>0.25</v>
      </c>
      <c r="V83" s="30">
        <f t="shared" si="469"/>
        <v>0.25</v>
      </c>
      <c r="W83" s="25">
        <f t="shared" si="470"/>
        <v>1</v>
      </c>
      <c r="X83" s="33">
        <f t="shared" si="471"/>
        <v>1</v>
      </c>
      <c r="Y83" s="26">
        <f t="shared" si="472"/>
        <v>1</v>
      </c>
    </row>
    <row r="84" spans="1:25" ht="46.5" customHeight="1">
      <c r="A84" s="133"/>
      <c r="B84" s="114"/>
      <c r="C84" s="139" t="s">
        <v>145</v>
      </c>
      <c r="D84" s="141">
        <v>12.75</v>
      </c>
      <c r="E84" s="121" t="s">
        <v>16</v>
      </c>
      <c r="F84" s="71">
        <f t="shared" si="473"/>
        <v>3.1875</v>
      </c>
      <c r="G84" s="30">
        <f t="shared" si="461"/>
        <v>3.1875</v>
      </c>
      <c r="H84" s="25">
        <f t="shared" si="474"/>
        <v>1</v>
      </c>
      <c r="I84" s="30">
        <f t="shared" si="462"/>
        <v>3.1875</v>
      </c>
      <c r="J84" s="26">
        <f t="shared" si="463"/>
        <v>0.25</v>
      </c>
      <c r="K84" s="30">
        <f t="shared" si="475"/>
        <v>3.1875</v>
      </c>
      <c r="L84" s="30">
        <f t="shared" si="428"/>
        <v>3.1875</v>
      </c>
      <c r="M84" s="25">
        <f t="shared" si="476"/>
        <v>1</v>
      </c>
      <c r="N84" s="34">
        <f t="shared" si="477"/>
        <v>6.375</v>
      </c>
      <c r="O84" s="26">
        <f t="shared" si="464"/>
        <v>0.5</v>
      </c>
      <c r="P84" s="30">
        <f t="shared" si="478"/>
        <v>3.1875</v>
      </c>
      <c r="Q84" s="30">
        <f t="shared" si="465"/>
        <v>3.1875</v>
      </c>
      <c r="R84" s="25">
        <f t="shared" si="466"/>
        <v>1</v>
      </c>
      <c r="S84" s="28">
        <f t="shared" si="467"/>
        <v>9.5625</v>
      </c>
      <c r="T84" s="26">
        <f t="shared" si="468"/>
        <v>0.75</v>
      </c>
      <c r="U84" s="30">
        <f t="shared" si="479"/>
        <v>3.1875</v>
      </c>
      <c r="V84" s="30">
        <f t="shared" si="469"/>
        <v>3.1875</v>
      </c>
      <c r="W84" s="25">
        <f t="shared" si="470"/>
        <v>1</v>
      </c>
      <c r="X84" s="33">
        <f t="shared" si="471"/>
        <v>12.75</v>
      </c>
      <c r="Y84" s="26">
        <f t="shared" si="472"/>
        <v>1</v>
      </c>
    </row>
    <row r="85" spans="1:25" ht="36" customHeight="1">
      <c r="A85" s="123">
        <v>22</v>
      </c>
      <c r="B85" s="214" t="s">
        <v>147</v>
      </c>
      <c r="C85" s="136" t="s">
        <v>61</v>
      </c>
      <c r="D85" s="203">
        <v>3.4</v>
      </c>
      <c r="E85" s="171" t="s">
        <v>16</v>
      </c>
      <c r="F85" s="149">
        <f t="shared" ref="F85:F86" si="480">D85/4</f>
        <v>0.85</v>
      </c>
      <c r="G85" s="107">
        <f t="shared" ref="G85:G89" si="481">F85</f>
        <v>0.85</v>
      </c>
      <c r="H85" s="108">
        <f t="shared" ref="H85:H89" si="482">G85/F85</f>
        <v>1</v>
      </c>
      <c r="I85" s="107">
        <f t="shared" ref="I85:I89" si="483">G85</f>
        <v>0.85</v>
      </c>
      <c r="J85" s="109">
        <f t="shared" ref="J85:J89" si="484">G85/$D85</f>
        <v>0.25</v>
      </c>
      <c r="K85" s="107">
        <f t="shared" ref="K85:K89" si="485">F85</f>
        <v>0.85</v>
      </c>
      <c r="L85" s="107">
        <f t="shared" si="428"/>
        <v>0.85</v>
      </c>
      <c r="M85" s="108">
        <f t="shared" ref="M85:M89" si="486">L85/K85</f>
        <v>1</v>
      </c>
      <c r="N85" s="110">
        <f t="shared" ref="N85:N89" si="487">G85+L85</f>
        <v>1.7</v>
      </c>
      <c r="O85" s="109">
        <f t="shared" ref="O85:O89" si="488">N85/$D85</f>
        <v>0.5</v>
      </c>
      <c r="P85" s="107">
        <f t="shared" ref="P85:P89" si="489">F85</f>
        <v>0.85</v>
      </c>
      <c r="Q85" s="107">
        <f t="shared" ref="Q85:Q89" si="490">P85</f>
        <v>0.85</v>
      </c>
      <c r="R85" s="108">
        <f t="shared" ref="R85:R89" si="491">Q85/P85</f>
        <v>1</v>
      </c>
      <c r="S85" s="111">
        <f t="shared" ref="S85:S89" si="492">Q85+N85</f>
        <v>2.5499999999999998</v>
      </c>
      <c r="T85" s="109">
        <f t="shared" ref="T85:T89" si="493">S85/$D85</f>
        <v>0.75</v>
      </c>
      <c r="U85" s="107">
        <f t="shared" ref="U85:U88" si="494">F85</f>
        <v>0.85</v>
      </c>
      <c r="V85" s="107">
        <f t="shared" ref="V85:V89" si="495">U85</f>
        <v>0.85</v>
      </c>
      <c r="W85" s="108">
        <f t="shared" ref="W85:W89" si="496">V85/U85</f>
        <v>1</v>
      </c>
      <c r="X85" s="204">
        <f t="shared" ref="X85:X89" si="497">S85+V85</f>
        <v>3.4</v>
      </c>
      <c r="Y85" s="109">
        <f t="shared" ref="Y85:Y89" si="498">X85/$D85</f>
        <v>1</v>
      </c>
    </row>
    <row r="86" spans="1:25" ht="20.100000000000001" customHeight="1">
      <c r="A86" s="123"/>
      <c r="B86" s="38"/>
      <c r="C86" s="100" t="s">
        <v>148</v>
      </c>
      <c r="D86" s="143">
        <v>4</v>
      </c>
      <c r="E86" s="118" t="s">
        <v>151</v>
      </c>
      <c r="F86" s="71">
        <f t="shared" si="480"/>
        <v>1</v>
      </c>
      <c r="G86" s="30">
        <f t="shared" si="481"/>
        <v>1</v>
      </c>
      <c r="H86" s="25">
        <f t="shared" si="482"/>
        <v>1</v>
      </c>
      <c r="I86" s="30">
        <f t="shared" si="483"/>
        <v>1</v>
      </c>
      <c r="J86" s="26">
        <f t="shared" si="484"/>
        <v>0.25</v>
      </c>
      <c r="K86" s="30">
        <f t="shared" si="485"/>
        <v>1</v>
      </c>
      <c r="L86" s="30">
        <f t="shared" si="428"/>
        <v>1</v>
      </c>
      <c r="M86" s="25">
        <f t="shared" si="486"/>
        <v>1</v>
      </c>
      <c r="N86" s="34">
        <f t="shared" si="487"/>
        <v>2</v>
      </c>
      <c r="O86" s="26">
        <f t="shared" si="488"/>
        <v>0.5</v>
      </c>
      <c r="P86" s="30">
        <f t="shared" si="489"/>
        <v>1</v>
      </c>
      <c r="Q86" s="30">
        <f t="shared" si="490"/>
        <v>1</v>
      </c>
      <c r="R86" s="25">
        <f t="shared" si="491"/>
        <v>1</v>
      </c>
      <c r="S86" s="28">
        <f t="shared" si="492"/>
        <v>3</v>
      </c>
      <c r="T86" s="26">
        <f t="shared" si="493"/>
        <v>0.75</v>
      </c>
      <c r="U86" s="30">
        <f t="shared" si="494"/>
        <v>1</v>
      </c>
      <c r="V86" s="30">
        <f t="shared" si="495"/>
        <v>1</v>
      </c>
      <c r="W86" s="25">
        <f t="shared" si="496"/>
        <v>1</v>
      </c>
      <c r="X86" s="33">
        <f t="shared" si="497"/>
        <v>4</v>
      </c>
      <c r="Y86" s="26">
        <f t="shared" si="498"/>
        <v>1</v>
      </c>
    </row>
    <row r="87" spans="1:25" ht="33.75" customHeight="1">
      <c r="A87" s="123"/>
      <c r="B87" s="38"/>
      <c r="C87" s="100" t="s">
        <v>62</v>
      </c>
      <c r="D87" s="130">
        <v>12867</v>
      </c>
      <c r="E87" s="118" t="s">
        <v>38</v>
      </c>
      <c r="F87" s="71">
        <f>10000/4</f>
        <v>2500</v>
      </c>
      <c r="G87" s="30">
        <f t="shared" si="481"/>
        <v>2500</v>
      </c>
      <c r="H87" s="25">
        <f t="shared" si="482"/>
        <v>1</v>
      </c>
      <c r="I87" s="30">
        <f t="shared" si="483"/>
        <v>2500</v>
      </c>
      <c r="J87" s="26">
        <f t="shared" si="484"/>
        <v>0.19429548457293852</v>
      </c>
      <c r="K87" s="30">
        <f t="shared" si="485"/>
        <v>2500</v>
      </c>
      <c r="L87" s="30">
        <f t="shared" si="428"/>
        <v>2500</v>
      </c>
      <c r="M87" s="25">
        <f t="shared" si="486"/>
        <v>1</v>
      </c>
      <c r="N87" s="34">
        <f t="shared" si="487"/>
        <v>5000</v>
      </c>
      <c r="O87" s="35">
        <f t="shared" si="488"/>
        <v>0.38859096914587704</v>
      </c>
      <c r="P87" s="30">
        <f t="shared" si="489"/>
        <v>2500</v>
      </c>
      <c r="Q87" s="30">
        <f t="shared" si="490"/>
        <v>2500</v>
      </c>
      <c r="R87" s="25">
        <f t="shared" si="491"/>
        <v>1</v>
      </c>
      <c r="S87" s="28">
        <f t="shared" si="492"/>
        <v>7500</v>
      </c>
      <c r="T87" s="26">
        <f t="shared" si="493"/>
        <v>0.58288645371881553</v>
      </c>
      <c r="U87" s="30">
        <f>F87</f>
        <v>2500</v>
      </c>
      <c r="V87" s="30">
        <f t="shared" si="495"/>
        <v>2500</v>
      </c>
      <c r="W87" s="25">
        <f t="shared" si="496"/>
        <v>1</v>
      </c>
      <c r="X87" s="34">
        <f t="shared" si="497"/>
        <v>10000</v>
      </c>
      <c r="Y87" s="26">
        <f t="shared" si="498"/>
        <v>0.77718193829175408</v>
      </c>
    </row>
    <row r="88" spans="1:25" ht="33.75" customHeight="1">
      <c r="A88" s="123"/>
      <c r="B88" s="38"/>
      <c r="C88" s="100" t="s">
        <v>149</v>
      </c>
      <c r="D88" s="130">
        <v>80</v>
      </c>
      <c r="E88" s="118" t="s">
        <v>16</v>
      </c>
      <c r="F88" s="71">
        <f>77.71/4</f>
        <v>19.427499999999998</v>
      </c>
      <c r="G88" s="30">
        <f t="shared" si="481"/>
        <v>19.427499999999998</v>
      </c>
      <c r="H88" s="25">
        <f t="shared" si="482"/>
        <v>1</v>
      </c>
      <c r="I88" s="30">
        <f t="shared" si="483"/>
        <v>19.427499999999998</v>
      </c>
      <c r="J88" s="26">
        <f t="shared" si="484"/>
        <v>0.24284374999999997</v>
      </c>
      <c r="K88" s="30">
        <f t="shared" si="485"/>
        <v>19.427499999999998</v>
      </c>
      <c r="L88" s="30">
        <f t="shared" si="428"/>
        <v>19.427499999999998</v>
      </c>
      <c r="M88" s="25">
        <f t="shared" si="486"/>
        <v>1</v>
      </c>
      <c r="N88" s="34">
        <f t="shared" si="487"/>
        <v>38.854999999999997</v>
      </c>
      <c r="O88" s="26">
        <f t="shared" si="488"/>
        <v>0.48568749999999994</v>
      </c>
      <c r="P88" s="30">
        <f t="shared" si="489"/>
        <v>19.427499999999998</v>
      </c>
      <c r="Q88" s="30">
        <f t="shared" si="490"/>
        <v>19.427499999999998</v>
      </c>
      <c r="R88" s="25">
        <f t="shared" si="491"/>
        <v>1</v>
      </c>
      <c r="S88" s="28">
        <f t="shared" si="492"/>
        <v>58.282499999999999</v>
      </c>
      <c r="T88" s="26">
        <f t="shared" si="493"/>
        <v>0.72853124999999996</v>
      </c>
      <c r="U88" s="30">
        <f t="shared" si="494"/>
        <v>19.427499999999998</v>
      </c>
      <c r="V88" s="30">
        <f t="shared" si="495"/>
        <v>19.427499999999998</v>
      </c>
      <c r="W88" s="25">
        <f t="shared" si="496"/>
        <v>1</v>
      </c>
      <c r="X88" s="33">
        <f t="shared" si="497"/>
        <v>77.709999999999994</v>
      </c>
      <c r="Y88" s="26">
        <f t="shared" si="498"/>
        <v>0.97137499999999988</v>
      </c>
    </row>
    <row r="89" spans="1:25" ht="34.5" customHeight="1">
      <c r="A89" s="133"/>
      <c r="B89" s="114"/>
      <c r="C89" s="100" t="s">
        <v>150</v>
      </c>
      <c r="D89" s="130">
        <v>7000</v>
      </c>
      <c r="E89" s="118" t="s">
        <v>38</v>
      </c>
      <c r="F89" s="71">
        <f>5900/4</f>
        <v>1475</v>
      </c>
      <c r="G89" s="30">
        <f t="shared" si="481"/>
        <v>1475</v>
      </c>
      <c r="H89" s="25">
        <f t="shared" si="482"/>
        <v>1</v>
      </c>
      <c r="I89" s="30">
        <f t="shared" si="483"/>
        <v>1475</v>
      </c>
      <c r="J89" s="26">
        <f t="shared" si="484"/>
        <v>0.21071428571428572</v>
      </c>
      <c r="K89" s="30">
        <f t="shared" si="485"/>
        <v>1475</v>
      </c>
      <c r="L89" s="30">
        <f t="shared" si="428"/>
        <v>1475</v>
      </c>
      <c r="M89" s="25">
        <f t="shared" si="486"/>
        <v>1</v>
      </c>
      <c r="N89" s="34">
        <f t="shared" si="487"/>
        <v>2950</v>
      </c>
      <c r="O89" s="26">
        <f t="shared" si="488"/>
        <v>0.42142857142857143</v>
      </c>
      <c r="P89" s="30">
        <f t="shared" si="489"/>
        <v>1475</v>
      </c>
      <c r="Q89" s="30">
        <f t="shared" si="490"/>
        <v>1475</v>
      </c>
      <c r="R89" s="25">
        <f t="shared" si="491"/>
        <v>1</v>
      </c>
      <c r="S89" s="28">
        <f t="shared" si="492"/>
        <v>4425</v>
      </c>
      <c r="T89" s="26">
        <f t="shared" si="493"/>
        <v>0.63214285714285712</v>
      </c>
      <c r="U89" s="30">
        <f>F89</f>
        <v>1475</v>
      </c>
      <c r="V89" s="30">
        <f t="shared" si="495"/>
        <v>1475</v>
      </c>
      <c r="W89" s="25">
        <f t="shared" si="496"/>
        <v>1</v>
      </c>
      <c r="X89" s="34">
        <f t="shared" si="497"/>
        <v>5900</v>
      </c>
      <c r="Y89" s="26">
        <f t="shared" si="498"/>
        <v>0.84285714285714286</v>
      </c>
    </row>
    <row r="90" spans="1:25" ht="15.75">
      <c r="A90" s="81"/>
      <c r="B90" s="82"/>
      <c r="C90" s="83"/>
      <c r="D90" s="80"/>
      <c r="E90" s="79"/>
      <c r="F90" s="10"/>
      <c r="G90" s="14"/>
      <c r="H90" s="12"/>
      <c r="I90" s="10"/>
      <c r="J90" s="11"/>
      <c r="K90" s="14"/>
      <c r="L90" s="14"/>
      <c r="M90" s="12"/>
      <c r="N90" s="13"/>
      <c r="O90" s="11"/>
      <c r="P90" s="14"/>
      <c r="Q90" s="14"/>
      <c r="R90" s="12"/>
      <c r="S90" s="22"/>
      <c r="T90" s="11"/>
      <c r="U90" s="14"/>
      <c r="V90" s="14"/>
      <c r="W90" s="12"/>
      <c r="X90" s="13"/>
      <c r="Y90" s="11"/>
    </row>
    <row r="91" spans="1:25">
      <c r="A91" s="84"/>
      <c r="B91" s="85"/>
      <c r="C91" s="86"/>
      <c r="D91" s="87"/>
      <c r="E91" s="85"/>
    </row>
    <row r="92" spans="1:25" ht="30" customHeight="1">
      <c r="A92" s="84"/>
      <c r="B92" s="255" t="s">
        <v>10</v>
      </c>
      <c r="C92" s="255"/>
      <c r="D92" s="87"/>
      <c r="E92" s="85"/>
      <c r="F92" s="256" t="s">
        <v>11</v>
      </c>
      <c r="G92" s="257"/>
      <c r="H92" s="15">
        <f>AVERAGE(H10:H89)</f>
        <v>0.88461538461538458</v>
      </c>
      <c r="I92" s="23"/>
      <c r="J92" s="15">
        <f>AVERAGE(J10:J90)</f>
        <v>0.42047971620670194</v>
      </c>
      <c r="K92" s="256" t="s">
        <v>12</v>
      </c>
      <c r="L92" s="257"/>
      <c r="M92" s="15">
        <f>AVERAGE(M10:M89)</f>
        <v>0.9358974358974359</v>
      </c>
      <c r="N92" s="16"/>
      <c r="O92" s="15">
        <f>AVERAGE(O10:O90)</f>
        <v>0.76625216745613867</v>
      </c>
      <c r="P92" s="256" t="s">
        <v>13</v>
      </c>
      <c r="Q92" s="257"/>
      <c r="R92" s="15">
        <f>AVERAGE(R10:R90)</f>
        <v>0.98717948717948723</v>
      </c>
      <c r="S92" s="16"/>
      <c r="T92" s="15">
        <f>AVERAGE(T10:T90)</f>
        <v>1.1911400033209607</v>
      </c>
      <c r="U92" s="256" t="s">
        <v>13</v>
      </c>
      <c r="V92" s="257"/>
      <c r="W92" s="15">
        <f>AVERAGE(W10:W90)</f>
        <v>0.94871794871794868</v>
      </c>
      <c r="X92" s="16"/>
      <c r="Y92" s="15">
        <f>AVERAGE(Y10:Y89)</f>
        <v>1.5579371359203009</v>
      </c>
    </row>
    <row r="93" spans="1:25">
      <c r="A93" s="84"/>
      <c r="B93" s="85"/>
      <c r="C93" s="86"/>
      <c r="D93" s="87"/>
      <c r="E93" s="85"/>
    </row>
    <row r="94" spans="1:25" ht="20.100000000000001" customHeight="1">
      <c r="A94" s="88"/>
      <c r="B94" s="89"/>
      <c r="C94" s="90"/>
      <c r="D94" s="91"/>
      <c r="E94" s="91"/>
      <c r="S94" s="258" t="s">
        <v>168</v>
      </c>
      <c r="T94" s="258"/>
      <c r="U94" s="258"/>
      <c r="V94" s="62"/>
      <c r="W94" s="62"/>
      <c r="X94" s="62"/>
      <c r="Y94" s="40"/>
    </row>
    <row r="95" spans="1:25" ht="9" customHeight="1">
      <c r="A95" s="91"/>
      <c r="B95" s="92"/>
      <c r="C95" s="92"/>
      <c r="D95" s="88"/>
      <c r="E95" s="88"/>
      <c r="S95" s="58"/>
      <c r="U95" s="58"/>
      <c r="V95" s="40"/>
      <c r="W95" s="40"/>
      <c r="X95" s="40"/>
      <c r="Y95" s="40"/>
    </row>
    <row r="96" spans="1:25" ht="20.100000000000001" customHeight="1">
      <c r="A96" s="91"/>
      <c r="B96" s="94"/>
      <c r="C96" s="92"/>
      <c r="D96" s="93"/>
      <c r="E96" s="93"/>
      <c r="S96" s="259" t="s">
        <v>65</v>
      </c>
      <c r="T96" s="259"/>
      <c r="U96" s="259"/>
      <c r="V96" s="64"/>
      <c r="W96" s="64"/>
      <c r="X96" s="64"/>
      <c r="Y96" s="40"/>
    </row>
    <row r="97" spans="1:25" ht="20.100000000000001" customHeight="1">
      <c r="A97" s="91"/>
      <c r="B97" s="94"/>
      <c r="C97" s="92"/>
      <c r="D97" s="93"/>
      <c r="E97" s="93"/>
      <c r="S97" s="236" t="s">
        <v>64</v>
      </c>
      <c r="T97" s="236"/>
      <c r="U97" s="236"/>
      <c r="V97" s="63"/>
      <c r="W97" s="63"/>
      <c r="X97" s="63"/>
      <c r="Y97" s="40"/>
    </row>
    <row r="98" spans="1:25" ht="20.100000000000001" customHeight="1">
      <c r="A98" s="91"/>
      <c r="B98" s="95"/>
      <c r="C98" s="96"/>
      <c r="D98" s="97"/>
      <c r="E98" s="97"/>
      <c r="S98" s="148"/>
      <c r="T98" s="176"/>
      <c r="U98" s="40"/>
      <c r="V98" s="63"/>
      <c r="W98" s="63"/>
      <c r="X98" s="63"/>
      <c r="Y98" s="40"/>
    </row>
    <row r="99" spans="1:25" ht="20.100000000000001" customHeight="1">
      <c r="A99" s="91"/>
      <c r="B99" s="92"/>
      <c r="C99" s="92"/>
      <c r="D99" s="88"/>
      <c r="E99" s="88"/>
      <c r="S99" s="148"/>
      <c r="T99" s="176"/>
      <c r="U99" s="40"/>
      <c r="V99" s="40"/>
      <c r="W99" s="40"/>
      <c r="X99" s="40"/>
      <c r="Y99" s="40"/>
    </row>
    <row r="100" spans="1:25" ht="15.75" customHeight="1">
      <c r="A100" s="91"/>
      <c r="B100" s="92"/>
      <c r="C100" s="92"/>
      <c r="D100" s="88"/>
      <c r="E100" s="88"/>
      <c r="S100" s="247" t="s">
        <v>66</v>
      </c>
      <c r="T100" s="247"/>
      <c r="U100" s="247"/>
    </row>
    <row r="101" spans="1:25">
      <c r="A101" s="91"/>
      <c r="B101" s="91"/>
      <c r="C101" s="91"/>
      <c r="D101" s="91"/>
      <c r="E101" s="91"/>
      <c r="S101" s="236" t="s">
        <v>67</v>
      </c>
      <c r="T101" s="236"/>
      <c r="U101" s="236"/>
    </row>
    <row r="102" spans="1:25">
      <c r="A102" s="91"/>
      <c r="B102" s="91"/>
      <c r="C102" s="91"/>
      <c r="D102" s="91"/>
      <c r="E102" s="91"/>
      <c r="S102" s="236" t="s">
        <v>68</v>
      </c>
      <c r="T102" s="236"/>
      <c r="U102" s="236"/>
    </row>
    <row r="103" spans="1:25">
      <c r="A103" s="91"/>
      <c r="B103" s="91"/>
      <c r="C103" s="91"/>
      <c r="D103" s="91"/>
      <c r="E103" s="91"/>
    </row>
    <row r="104" spans="1:25">
      <c r="A104" s="91"/>
      <c r="B104" s="91"/>
      <c r="C104" s="91" t="s">
        <v>19</v>
      </c>
      <c r="D104" s="91"/>
      <c r="E104" s="91"/>
    </row>
    <row r="105" spans="1:25">
      <c r="A105" s="91"/>
      <c r="B105" s="91"/>
      <c r="C105" s="91"/>
      <c r="D105" s="91"/>
      <c r="E105" s="91"/>
    </row>
    <row r="106" spans="1:25">
      <c r="A106" s="91"/>
      <c r="B106" s="91"/>
      <c r="C106" s="91"/>
      <c r="D106" s="91"/>
      <c r="E106" s="91"/>
    </row>
    <row r="107" spans="1:25">
      <c r="A107" s="91"/>
      <c r="B107" s="91"/>
      <c r="C107" s="91"/>
      <c r="D107" s="91"/>
      <c r="E107" s="91"/>
    </row>
    <row r="108" spans="1:25">
      <c r="A108" s="91"/>
      <c r="B108" s="91"/>
      <c r="C108" s="91"/>
      <c r="D108" s="91"/>
      <c r="E108" s="91"/>
    </row>
    <row r="109" spans="1:25">
      <c r="A109" s="91"/>
      <c r="B109" s="91"/>
      <c r="C109" s="91"/>
      <c r="D109" s="91"/>
      <c r="E109" s="91"/>
    </row>
    <row r="110" spans="1:25">
      <c r="A110" s="91"/>
      <c r="B110" s="91"/>
      <c r="C110" s="91"/>
      <c r="D110" s="91"/>
      <c r="E110" s="91"/>
    </row>
    <row r="111" spans="1:25">
      <c r="A111" s="91"/>
      <c r="B111" s="91"/>
      <c r="C111" s="91"/>
      <c r="D111" s="91"/>
      <c r="E111" s="91"/>
    </row>
    <row r="112" spans="1:25">
      <c r="A112" s="91"/>
      <c r="B112" s="91"/>
      <c r="C112" s="91"/>
      <c r="D112" s="91"/>
      <c r="E112" s="91"/>
    </row>
    <row r="113" spans="1:5">
      <c r="A113" s="91"/>
      <c r="B113" s="91"/>
      <c r="C113" s="91"/>
      <c r="D113" s="91"/>
      <c r="E113" s="91"/>
    </row>
    <row r="114" spans="1:5">
      <c r="A114" s="91"/>
      <c r="B114" s="91"/>
      <c r="C114" s="91"/>
      <c r="D114" s="91"/>
      <c r="E114" s="91"/>
    </row>
    <row r="115" spans="1:5">
      <c r="A115" s="91"/>
      <c r="B115" s="91"/>
      <c r="C115" s="91"/>
      <c r="D115" s="91"/>
      <c r="E115" s="91"/>
    </row>
    <row r="116" spans="1:5">
      <c r="A116" s="91"/>
      <c r="B116" s="91"/>
      <c r="C116" s="91"/>
      <c r="D116" s="91"/>
      <c r="E116" s="91"/>
    </row>
    <row r="117" spans="1:5">
      <c r="A117" s="91"/>
      <c r="B117" s="91"/>
      <c r="C117" s="91"/>
      <c r="D117" s="91"/>
      <c r="E117" s="91"/>
    </row>
    <row r="118" spans="1:5">
      <c r="A118" s="91"/>
      <c r="B118" s="91"/>
      <c r="C118" s="91"/>
      <c r="D118" s="91"/>
      <c r="E118" s="91"/>
    </row>
    <row r="119" spans="1:5">
      <c r="A119" s="91"/>
      <c r="B119" s="91"/>
      <c r="C119" s="91"/>
      <c r="D119" s="91"/>
      <c r="E119" s="91"/>
    </row>
    <row r="120" spans="1:5">
      <c r="A120" s="91"/>
      <c r="B120" s="91"/>
      <c r="C120" s="91"/>
      <c r="D120" s="91"/>
      <c r="E120" s="91"/>
    </row>
    <row r="121" spans="1:5">
      <c r="A121" s="91"/>
      <c r="B121" s="91"/>
      <c r="C121" s="91"/>
      <c r="D121" s="91"/>
      <c r="E121" s="91"/>
    </row>
    <row r="122" spans="1:5">
      <c r="A122" s="91"/>
      <c r="B122" s="91"/>
      <c r="C122" s="91"/>
      <c r="D122" s="91"/>
      <c r="E122" s="91"/>
    </row>
    <row r="123" spans="1:5">
      <c r="A123" s="91"/>
      <c r="B123" s="91"/>
      <c r="C123" s="91"/>
      <c r="D123" s="91"/>
      <c r="E123" s="91"/>
    </row>
    <row r="124" spans="1:5">
      <c r="A124" s="91"/>
      <c r="B124" s="91"/>
      <c r="C124" s="91"/>
      <c r="D124" s="91"/>
      <c r="E124" s="91"/>
    </row>
    <row r="125" spans="1:5">
      <c r="A125" s="91"/>
      <c r="B125" s="91"/>
      <c r="C125" s="91"/>
      <c r="D125" s="91"/>
      <c r="E125" s="91"/>
    </row>
    <row r="126" spans="1:5">
      <c r="A126" s="91"/>
      <c r="B126" s="91"/>
      <c r="C126" s="91"/>
      <c r="D126" s="91"/>
      <c r="E126" s="91"/>
    </row>
    <row r="127" spans="1:5">
      <c r="A127" s="91"/>
      <c r="B127" s="91"/>
      <c r="C127" s="91"/>
      <c r="D127" s="91"/>
      <c r="E127" s="91"/>
    </row>
    <row r="128" spans="1:5">
      <c r="A128" s="91"/>
      <c r="B128" s="91"/>
      <c r="C128" s="91"/>
      <c r="D128" s="91"/>
      <c r="E128" s="91"/>
    </row>
    <row r="129" spans="1:5">
      <c r="A129" s="91"/>
      <c r="B129" s="91"/>
      <c r="C129" s="91"/>
      <c r="D129" s="91"/>
      <c r="E129" s="91"/>
    </row>
    <row r="130" spans="1:5">
      <c r="A130" s="91"/>
      <c r="B130" s="91"/>
      <c r="C130" s="91"/>
      <c r="D130" s="91"/>
      <c r="E130" s="91"/>
    </row>
    <row r="131" spans="1:5">
      <c r="A131" s="91"/>
      <c r="B131" s="91"/>
      <c r="C131" s="91"/>
      <c r="D131" s="91"/>
      <c r="E131" s="91"/>
    </row>
    <row r="132" spans="1:5">
      <c r="A132" s="91"/>
      <c r="B132" s="91"/>
      <c r="C132" s="91"/>
      <c r="D132" s="91"/>
      <c r="E132" s="91"/>
    </row>
    <row r="133" spans="1:5">
      <c r="A133" s="91"/>
      <c r="B133" s="91"/>
      <c r="C133" s="91"/>
      <c r="D133" s="91"/>
      <c r="E133" s="91"/>
    </row>
    <row r="134" spans="1:5">
      <c r="A134" s="91"/>
      <c r="B134" s="91"/>
      <c r="C134" s="91"/>
      <c r="D134" s="91"/>
      <c r="E134" s="91"/>
    </row>
    <row r="135" spans="1:5">
      <c r="A135" s="91"/>
      <c r="B135" s="91"/>
      <c r="C135" s="91"/>
      <c r="D135" s="91"/>
      <c r="E135" s="91"/>
    </row>
    <row r="136" spans="1:5">
      <c r="A136" s="91"/>
      <c r="B136" s="91"/>
      <c r="C136" s="91"/>
      <c r="D136" s="91"/>
      <c r="E136" s="91"/>
    </row>
    <row r="137" spans="1:5">
      <c r="A137" s="91"/>
      <c r="B137" s="91"/>
      <c r="C137" s="91"/>
      <c r="D137" s="91"/>
      <c r="E137" s="91"/>
    </row>
    <row r="138" spans="1:5">
      <c r="A138" s="91"/>
      <c r="B138" s="91"/>
      <c r="C138" s="91"/>
      <c r="D138" s="91"/>
      <c r="E138" s="91"/>
    </row>
    <row r="139" spans="1:5">
      <c r="A139" s="91"/>
      <c r="B139" s="91"/>
      <c r="C139" s="91"/>
      <c r="D139" s="91"/>
      <c r="E139" s="91"/>
    </row>
    <row r="140" spans="1:5">
      <c r="A140" s="91"/>
      <c r="B140" s="91"/>
      <c r="C140" s="91"/>
      <c r="D140" s="91"/>
      <c r="E140" s="91"/>
    </row>
    <row r="141" spans="1:5">
      <c r="A141" s="91"/>
      <c r="B141" s="91"/>
      <c r="C141" s="91"/>
      <c r="D141" s="91"/>
      <c r="E141" s="91"/>
    </row>
    <row r="142" spans="1:5">
      <c r="A142" s="91"/>
      <c r="B142" s="91"/>
      <c r="C142" s="91"/>
      <c r="D142" s="91"/>
      <c r="E142" s="91"/>
    </row>
    <row r="143" spans="1:5">
      <c r="A143" s="91"/>
      <c r="B143" s="91"/>
      <c r="C143" s="91"/>
      <c r="D143" s="91"/>
      <c r="E143" s="91"/>
    </row>
    <row r="144" spans="1:5">
      <c r="A144" s="91"/>
      <c r="B144" s="91"/>
      <c r="C144" s="91"/>
      <c r="D144" s="91"/>
      <c r="E144" s="91"/>
    </row>
    <row r="145" spans="1:5">
      <c r="A145" s="91"/>
      <c r="B145" s="91"/>
      <c r="C145" s="91"/>
      <c r="D145" s="91"/>
      <c r="E145" s="91"/>
    </row>
    <row r="146" spans="1:5">
      <c r="A146" s="91"/>
      <c r="B146" s="91"/>
      <c r="C146" s="91"/>
      <c r="D146" s="91"/>
      <c r="E146" s="91"/>
    </row>
    <row r="147" spans="1:5">
      <c r="A147" s="91"/>
      <c r="B147" s="91"/>
      <c r="C147" s="91"/>
      <c r="D147" s="91"/>
      <c r="E147" s="91"/>
    </row>
    <row r="148" spans="1:5">
      <c r="A148" s="91"/>
      <c r="B148" s="91"/>
      <c r="C148" s="91"/>
      <c r="D148" s="91"/>
      <c r="E148" s="91"/>
    </row>
    <row r="149" spans="1:5">
      <c r="A149" s="91"/>
      <c r="B149" s="91"/>
      <c r="C149" s="91"/>
      <c r="D149" s="91"/>
      <c r="E149" s="91"/>
    </row>
    <row r="150" spans="1:5">
      <c r="A150" s="91"/>
      <c r="B150" s="91"/>
      <c r="C150" s="91"/>
      <c r="D150" s="91"/>
      <c r="E150" s="91"/>
    </row>
    <row r="151" spans="1:5">
      <c r="A151" s="91"/>
      <c r="B151" s="91"/>
      <c r="C151" s="91"/>
      <c r="D151" s="91"/>
      <c r="E151" s="91"/>
    </row>
    <row r="152" spans="1:5">
      <c r="A152" s="91"/>
      <c r="B152" s="91"/>
      <c r="C152" s="91"/>
      <c r="D152" s="91"/>
      <c r="E152" s="91"/>
    </row>
    <row r="153" spans="1:5">
      <c r="A153" s="91"/>
      <c r="B153" s="91"/>
      <c r="C153" s="91"/>
      <c r="D153" s="91"/>
      <c r="E153" s="91"/>
    </row>
    <row r="154" spans="1:5">
      <c r="A154" s="91"/>
      <c r="B154" s="91"/>
      <c r="C154" s="91"/>
      <c r="D154" s="91"/>
      <c r="E154" s="91"/>
    </row>
    <row r="155" spans="1:5">
      <c r="A155" s="91"/>
      <c r="B155" s="91"/>
      <c r="C155" s="91"/>
      <c r="D155" s="91"/>
      <c r="E155" s="91"/>
    </row>
    <row r="156" spans="1:5">
      <c r="A156" s="91"/>
      <c r="B156" s="91"/>
      <c r="C156" s="91"/>
      <c r="D156" s="91"/>
      <c r="E156" s="91"/>
    </row>
    <row r="157" spans="1:5">
      <c r="A157" s="91"/>
      <c r="B157" s="91"/>
      <c r="C157" s="91"/>
      <c r="D157" s="91"/>
      <c r="E157" s="91"/>
    </row>
    <row r="158" spans="1:5">
      <c r="A158" s="91"/>
      <c r="B158" s="91"/>
      <c r="C158" s="91"/>
      <c r="D158" s="91"/>
      <c r="E158" s="91"/>
    </row>
    <row r="159" spans="1:5">
      <c r="A159" s="91"/>
      <c r="B159" s="91"/>
      <c r="C159" s="91"/>
      <c r="D159" s="91"/>
      <c r="E159" s="91"/>
    </row>
    <row r="160" spans="1:5">
      <c r="A160" s="91"/>
      <c r="B160" s="91"/>
      <c r="C160" s="91"/>
      <c r="D160" s="91"/>
      <c r="E160" s="91"/>
    </row>
    <row r="161" spans="1:5">
      <c r="A161" s="91"/>
      <c r="B161" s="91"/>
      <c r="C161" s="91"/>
      <c r="D161" s="91"/>
      <c r="E161" s="91"/>
    </row>
    <row r="162" spans="1:5">
      <c r="A162" s="91"/>
      <c r="B162" s="91"/>
      <c r="C162" s="91"/>
      <c r="D162" s="91"/>
      <c r="E162" s="91"/>
    </row>
    <row r="163" spans="1:5">
      <c r="A163" s="91"/>
      <c r="B163" s="91"/>
      <c r="C163" s="91"/>
      <c r="D163" s="91"/>
      <c r="E163" s="91"/>
    </row>
    <row r="164" spans="1:5">
      <c r="A164" s="91"/>
      <c r="B164" s="91"/>
      <c r="C164" s="91"/>
      <c r="D164" s="91"/>
      <c r="E164" s="91"/>
    </row>
    <row r="165" spans="1:5">
      <c r="A165" s="91"/>
      <c r="B165" s="91"/>
      <c r="C165" s="91"/>
      <c r="D165" s="91"/>
      <c r="E165" s="91"/>
    </row>
    <row r="166" spans="1:5">
      <c r="A166" s="91"/>
      <c r="B166" s="91"/>
      <c r="C166" s="91"/>
      <c r="D166" s="91"/>
      <c r="E166" s="91"/>
    </row>
    <row r="167" spans="1:5">
      <c r="A167" s="91"/>
      <c r="B167" s="91"/>
      <c r="C167" s="91"/>
      <c r="D167" s="91"/>
      <c r="E167" s="91"/>
    </row>
    <row r="168" spans="1:5">
      <c r="A168" s="91"/>
      <c r="B168" s="91"/>
      <c r="C168" s="91"/>
      <c r="D168" s="91"/>
      <c r="E168" s="91"/>
    </row>
    <row r="169" spans="1:5">
      <c r="A169" s="91"/>
      <c r="B169" s="91"/>
      <c r="C169" s="91"/>
      <c r="D169" s="91"/>
      <c r="E169" s="91"/>
    </row>
    <row r="170" spans="1:5">
      <c r="A170" s="91"/>
      <c r="B170" s="91"/>
      <c r="C170" s="91"/>
      <c r="D170" s="91"/>
      <c r="E170" s="91"/>
    </row>
    <row r="171" spans="1:5">
      <c r="A171" s="91"/>
      <c r="B171" s="91"/>
      <c r="C171" s="91"/>
      <c r="D171" s="91"/>
      <c r="E171" s="91"/>
    </row>
    <row r="172" spans="1:5">
      <c r="A172" s="91"/>
      <c r="B172" s="91"/>
      <c r="C172" s="91"/>
      <c r="D172" s="91"/>
      <c r="E172" s="91"/>
    </row>
    <row r="173" spans="1:5">
      <c r="A173" s="91"/>
      <c r="B173" s="91"/>
      <c r="C173" s="91"/>
      <c r="D173" s="91"/>
      <c r="E173" s="91"/>
    </row>
    <row r="174" spans="1:5">
      <c r="A174" s="91"/>
      <c r="B174" s="91"/>
      <c r="C174" s="91"/>
      <c r="D174" s="91"/>
      <c r="E174" s="91"/>
    </row>
    <row r="175" spans="1:5">
      <c r="A175" s="91"/>
      <c r="B175" s="91"/>
      <c r="C175" s="91"/>
      <c r="D175" s="91"/>
      <c r="E175" s="91"/>
    </row>
    <row r="176" spans="1:5">
      <c r="A176" s="91"/>
      <c r="B176" s="91"/>
      <c r="C176" s="91"/>
      <c r="D176" s="91"/>
      <c r="E176" s="91"/>
    </row>
    <row r="177" spans="1:5">
      <c r="A177" s="91"/>
      <c r="B177" s="91"/>
      <c r="C177" s="91"/>
      <c r="D177" s="91"/>
      <c r="E177" s="91"/>
    </row>
    <row r="178" spans="1:5">
      <c r="A178" s="91"/>
      <c r="B178" s="91"/>
      <c r="C178" s="91"/>
      <c r="D178" s="91"/>
      <c r="E178" s="91"/>
    </row>
    <row r="179" spans="1:5">
      <c r="A179" s="91"/>
      <c r="B179" s="91"/>
      <c r="C179" s="91"/>
      <c r="D179" s="91"/>
      <c r="E179" s="91"/>
    </row>
    <row r="180" spans="1:5">
      <c r="A180" s="91"/>
      <c r="B180" s="91"/>
      <c r="C180" s="91"/>
      <c r="D180" s="91"/>
      <c r="E180" s="91"/>
    </row>
    <row r="181" spans="1:5">
      <c r="A181" s="91"/>
      <c r="B181" s="91"/>
      <c r="C181" s="91"/>
      <c r="D181" s="91"/>
      <c r="E181" s="91"/>
    </row>
    <row r="182" spans="1:5">
      <c r="A182" s="91"/>
      <c r="B182" s="91"/>
      <c r="C182" s="91"/>
      <c r="D182" s="91"/>
      <c r="E182" s="91"/>
    </row>
    <row r="183" spans="1:5">
      <c r="A183" s="91"/>
      <c r="B183" s="91"/>
      <c r="C183" s="91"/>
      <c r="D183" s="91"/>
      <c r="E183" s="91"/>
    </row>
    <row r="184" spans="1:5">
      <c r="A184" s="91"/>
      <c r="B184" s="91"/>
      <c r="C184" s="91"/>
      <c r="D184" s="91"/>
      <c r="E184" s="91"/>
    </row>
    <row r="185" spans="1:5">
      <c r="A185" s="91"/>
      <c r="B185" s="91"/>
      <c r="C185" s="91"/>
      <c r="D185" s="91"/>
      <c r="E185" s="91"/>
    </row>
    <row r="186" spans="1:5">
      <c r="A186" s="91"/>
      <c r="B186" s="91"/>
      <c r="C186" s="91"/>
      <c r="D186" s="91"/>
      <c r="E186" s="91"/>
    </row>
    <row r="187" spans="1:5">
      <c r="A187" s="91"/>
      <c r="B187" s="91"/>
      <c r="C187" s="91"/>
      <c r="D187" s="91"/>
      <c r="E187" s="91"/>
    </row>
    <row r="188" spans="1:5">
      <c r="A188" s="91"/>
      <c r="B188" s="91"/>
      <c r="C188" s="91"/>
      <c r="D188" s="91"/>
      <c r="E188" s="91"/>
    </row>
    <row r="189" spans="1:5">
      <c r="A189" s="91"/>
      <c r="B189" s="91"/>
      <c r="C189" s="91"/>
      <c r="D189" s="91"/>
      <c r="E189" s="91"/>
    </row>
    <row r="190" spans="1:5">
      <c r="A190" s="91"/>
      <c r="B190" s="91"/>
      <c r="C190" s="91"/>
      <c r="D190" s="91"/>
      <c r="E190" s="91"/>
    </row>
    <row r="191" spans="1:5">
      <c r="A191" s="91"/>
      <c r="B191" s="91"/>
      <c r="C191" s="91"/>
      <c r="D191" s="91"/>
      <c r="E191" s="91"/>
    </row>
    <row r="192" spans="1:5">
      <c r="A192" s="91"/>
      <c r="B192" s="91"/>
      <c r="C192" s="91"/>
      <c r="D192" s="91"/>
      <c r="E192" s="91"/>
    </row>
    <row r="193" spans="1:5">
      <c r="A193" s="91"/>
      <c r="B193" s="91"/>
      <c r="C193" s="91"/>
      <c r="D193" s="91"/>
      <c r="E193" s="91"/>
    </row>
    <row r="194" spans="1:5">
      <c r="A194" s="91"/>
      <c r="B194" s="91"/>
      <c r="C194" s="91"/>
      <c r="D194" s="91"/>
      <c r="E194" s="91"/>
    </row>
    <row r="195" spans="1:5">
      <c r="A195" s="91"/>
      <c r="B195" s="91"/>
      <c r="C195" s="91"/>
      <c r="D195" s="91"/>
      <c r="E195" s="91"/>
    </row>
    <row r="196" spans="1:5">
      <c r="A196" s="91"/>
      <c r="B196" s="91"/>
      <c r="C196" s="91"/>
      <c r="D196" s="91"/>
      <c r="E196" s="91"/>
    </row>
    <row r="197" spans="1:5">
      <c r="A197" s="91"/>
      <c r="B197" s="91"/>
      <c r="C197" s="91"/>
      <c r="D197" s="91"/>
      <c r="E197" s="91"/>
    </row>
    <row r="198" spans="1:5">
      <c r="A198" s="91"/>
      <c r="B198" s="91"/>
      <c r="C198" s="91"/>
      <c r="D198" s="91"/>
      <c r="E198" s="91"/>
    </row>
    <row r="199" spans="1:5">
      <c r="A199" s="91"/>
      <c r="B199" s="91"/>
      <c r="C199" s="91"/>
      <c r="D199" s="91"/>
      <c r="E199" s="91"/>
    </row>
    <row r="200" spans="1:5">
      <c r="A200" s="91"/>
      <c r="B200" s="91"/>
      <c r="C200" s="91"/>
      <c r="D200" s="91"/>
      <c r="E200" s="91"/>
    </row>
    <row r="201" spans="1:5">
      <c r="A201" s="91"/>
      <c r="B201" s="91"/>
      <c r="C201" s="91"/>
      <c r="D201" s="91"/>
      <c r="E201" s="91"/>
    </row>
    <row r="202" spans="1:5">
      <c r="A202" s="91"/>
      <c r="B202" s="91"/>
      <c r="C202" s="91"/>
      <c r="D202" s="91"/>
      <c r="E202" s="91"/>
    </row>
    <row r="203" spans="1:5">
      <c r="A203" s="91"/>
      <c r="B203" s="91"/>
      <c r="C203" s="91"/>
      <c r="D203" s="91"/>
      <c r="E203" s="91"/>
    </row>
    <row r="204" spans="1:5">
      <c r="A204" s="91"/>
      <c r="B204" s="91"/>
      <c r="C204" s="91"/>
      <c r="D204" s="91"/>
      <c r="E204" s="91"/>
    </row>
    <row r="205" spans="1:5">
      <c r="A205" s="91"/>
      <c r="B205" s="91"/>
      <c r="C205" s="91"/>
      <c r="D205" s="91"/>
      <c r="E205" s="91"/>
    </row>
    <row r="206" spans="1:5">
      <c r="A206" s="91"/>
      <c r="B206" s="91"/>
      <c r="C206" s="91"/>
      <c r="D206" s="91"/>
      <c r="E206" s="91"/>
    </row>
    <row r="207" spans="1:5">
      <c r="A207" s="91"/>
      <c r="B207" s="91"/>
      <c r="C207" s="91"/>
      <c r="D207" s="91"/>
      <c r="E207" s="91"/>
    </row>
    <row r="208" spans="1:5">
      <c r="A208" s="91"/>
      <c r="B208" s="91"/>
      <c r="C208" s="91"/>
      <c r="D208" s="91"/>
      <c r="E208" s="91"/>
    </row>
    <row r="209" spans="1:5">
      <c r="A209" s="91"/>
      <c r="B209" s="91"/>
      <c r="C209" s="91"/>
      <c r="D209" s="91"/>
      <c r="E209" s="91"/>
    </row>
    <row r="210" spans="1:5">
      <c r="A210" s="91"/>
      <c r="B210" s="91"/>
      <c r="C210" s="91"/>
      <c r="D210" s="91"/>
      <c r="E210" s="91"/>
    </row>
    <row r="211" spans="1:5">
      <c r="A211" s="91"/>
      <c r="B211" s="91"/>
      <c r="C211" s="91"/>
      <c r="D211" s="91"/>
      <c r="E211" s="91"/>
    </row>
    <row r="212" spans="1:5">
      <c r="A212" s="91"/>
      <c r="B212" s="91"/>
      <c r="C212" s="91"/>
      <c r="D212" s="91"/>
      <c r="E212" s="91"/>
    </row>
    <row r="213" spans="1:5">
      <c r="A213" s="91"/>
      <c r="B213" s="91"/>
      <c r="C213" s="91"/>
      <c r="D213" s="91"/>
      <c r="E213" s="91"/>
    </row>
    <row r="214" spans="1:5">
      <c r="A214" s="91"/>
      <c r="B214" s="91"/>
      <c r="C214" s="91"/>
      <c r="D214" s="91"/>
      <c r="E214" s="91"/>
    </row>
    <row r="215" spans="1:5">
      <c r="A215" s="91"/>
      <c r="B215" s="91"/>
      <c r="C215" s="91"/>
      <c r="D215" s="91"/>
      <c r="E215" s="91"/>
    </row>
    <row r="216" spans="1:5">
      <c r="A216" s="91"/>
      <c r="B216" s="91"/>
      <c r="C216" s="91"/>
      <c r="D216" s="91"/>
      <c r="E216" s="91"/>
    </row>
    <row r="217" spans="1:5">
      <c r="A217" s="91"/>
      <c r="B217" s="91"/>
      <c r="C217" s="91"/>
      <c r="D217" s="91"/>
      <c r="E217" s="91"/>
    </row>
    <row r="218" spans="1:5">
      <c r="A218" s="91"/>
      <c r="B218" s="91"/>
      <c r="C218" s="91"/>
      <c r="D218" s="91"/>
      <c r="E218" s="91"/>
    </row>
    <row r="219" spans="1:5">
      <c r="A219" s="91"/>
      <c r="B219" s="91"/>
      <c r="C219" s="91"/>
      <c r="D219" s="91"/>
      <c r="E219" s="91"/>
    </row>
  </sheetData>
  <mergeCells count="24">
    <mergeCell ref="A2:Y2"/>
    <mergeCell ref="A3:Y3"/>
    <mergeCell ref="A4:Y4"/>
    <mergeCell ref="D6:D8"/>
    <mergeCell ref="E6:E8"/>
    <mergeCell ref="U7:Y7"/>
    <mergeCell ref="F7:J7"/>
    <mergeCell ref="P7:T7"/>
    <mergeCell ref="A6:A8"/>
    <mergeCell ref="B6:B8"/>
    <mergeCell ref="C6:C8"/>
    <mergeCell ref="K7:O7"/>
    <mergeCell ref="B63:B64"/>
    <mergeCell ref="S100:U100"/>
    <mergeCell ref="S101:U101"/>
    <mergeCell ref="S102:U102"/>
    <mergeCell ref="B92:C92"/>
    <mergeCell ref="F92:G92"/>
    <mergeCell ref="K92:L92"/>
    <mergeCell ref="P92:Q92"/>
    <mergeCell ref="U92:V92"/>
    <mergeCell ref="S94:U94"/>
    <mergeCell ref="S96:U96"/>
    <mergeCell ref="S97:U97"/>
  </mergeCells>
  <printOptions horizontalCentered="1"/>
  <pageMargins left="0.12" right="0.19684930008748899" top="0.27558945756780401" bottom="0.36" header="0.27558945756780401" footer="0.16"/>
  <pageSetup paperSize="5" scale="35" fitToHeight="3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Sampul</vt:lpstr>
      <vt:lpstr>Rencana Aksi</vt:lpstr>
      <vt:lpstr>Pengukuran</vt:lpstr>
      <vt:lpstr>Monev rencana aksi</vt:lpstr>
      <vt:lpstr>'Monev rencana aksi'!Print_Titles</vt:lpstr>
      <vt:lpstr>Pengukuran!Print_Titles</vt:lpstr>
      <vt:lpstr>'Rencana Aksi'!Print_Titles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A450</dc:creator>
  <cp:lastModifiedBy>kominfo</cp:lastModifiedBy>
  <cp:lastPrinted>2019-06-11T07:04:20Z</cp:lastPrinted>
  <dcterms:created xsi:type="dcterms:W3CDTF">2016-08-19T01:00:02Z</dcterms:created>
  <dcterms:modified xsi:type="dcterms:W3CDTF">2019-06-20T02:20:35Z</dcterms:modified>
</cp:coreProperties>
</file>